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READ THIS FIRST!" sheetId="1" r:id="rId4"/>
    <sheet state="visible" name="2. Schedule" sheetId="2" r:id="rId5"/>
    <sheet state="visible" name="3. Budget Globals" sheetId="3" r:id="rId6"/>
    <sheet state="visible" name="4. Budget Detail" sheetId="4" r:id="rId7"/>
    <sheet state="visible" name="5. Budget Topsheet" sheetId="5" r:id="rId8"/>
    <sheet state="visible" name="6. Finance Plan" sheetId="6" r:id="rId9"/>
  </sheets>
  <definedNames>
    <definedName name="BCAM_DAYS">'3. Budget Globals'!$C$10</definedName>
    <definedName name="OVERLAP2">'3. Budget Globals'!$C$18</definedName>
    <definedName name="MISC">'3. Budget Globals'!$C$25</definedName>
    <definedName name="TOTAL_WEEKS">'3. Budget Globals'!$C$20</definedName>
    <definedName name="FRINGE">'3. Budget Globals'!$C$29</definedName>
    <definedName name="CONTINGENCY">'3. Budget Globals'!$C$24</definedName>
    <definedName name="RESEARCH_WEEKS">'3. Budget Globals'!$C$13</definedName>
    <definedName name="FINISH_WEEKS">'3. Budget Globals'!$C$19</definedName>
    <definedName name="SHOOTVIS_DAYS">'3. Budget Globals'!$C$7</definedName>
    <definedName name="PREP_WEEKS">'3. Budget Globals'!$C$14</definedName>
    <definedName name="TOTAL_MONTHS">'3. Budget Globals'!$C$22</definedName>
    <definedName name="SHOOTINTW_DAYS">'3. Budget Globals'!$C$6</definedName>
    <definedName name="PROD_WEEKS">'3. Budget Globals'!$C$16</definedName>
    <definedName name="EDIT_WEEKS">'3. Budget Globals'!$C$17</definedName>
    <definedName name="SOUND_DAYS">'3. Budget Globals'!$C$9</definedName>
    <definedName name="OVERLAP1">'3. Budget Globals'!$C$15</definedName>
    <definedName name="FISCAL">'3. Budget Globals'!$C$26</definedName>
  </definedNames>
  <calcPr/>
</workbook>
</file>

<file path=xl/sharedStrings.xml><?xml version="1.0" encoding="utf-8"?>
<sst xmlns="http://schemas.openxmlformats.org/spreadsheetml/2006/main" count="1408" uniqueCount="739">
  <si>
    <r>
      <rPr>
        <b/>
        <sz val="36.0"/>
      </rPr>
      <t>READ THIS FIRST!</t>
    </r>
    <r>
      <rPr>
        <sz val="16.0"/>
      </rPr>
      <t xml:space="preserve">
</t>
    </r>
    <r>
      <rPr>
        <sz val="12.0"/>
      </rPr>
      <t xml:space="preserve">This </t>
    </r>
    <r>
      <rPr>
        <b/>
        <sz val="12.0"/>
      </rPr>
      <t>DOCUMENTARY BUDGET, SCHEDULE &amp; FINANCE PLAN TEMPLATE</t>
    </r>
    <r>
      <rPr>
        <sz val="12.0"/>
      </rPr>
      <t xml:space="preserve"> was created by Robert Bahar alongside the article "</t>
    </r>
    <r>
      <rPr>
        <b/>
        <color rgb="FF1155CC"/>
        <sz val="12.0"/>
        <u/>
      </rPr>
      <t>A Fresh 2025 Look
at Documentary Budgeting and Scheduling (with new templates!)</t>
    </r>
    <r>
      <rPr>
        <sz val="12.0"/>
      </rPr>
      <t xml:space="preserve">" published by the INTERNATIONAL DOCUMENTARY ASSOCIATION. (Both the article and template are © 2024 Robert Bahar.)
</t>
    </r>
    <r>
      <rPr>
        <b/>
        <sz val="12.0"/>
      </rPr>
      <t>HOW TO USE THIS TEMPLATE</t>
    </r>
    <r>
      <rPr>
        <sz val="12.0"/>
      </rPr>
      <t xml:space="preserve">
1. ARTICLE: Before using this template, please first read the article at </t>
    </r>
    <r>
      <rPr>
        <color rgb="FF1155CC"/>
        <sz val="12.0"/>
        <u/>
      </rPr>
      <t>https://www.documentary.org/online-feature/2025-introduction-documentary-budgeting-and-scheduling</t>
    </r>
    <r>
      <rPr>
        <sz val="12.0"/>
      </rPr>
      <t xml:space="preserve"> for a deep exploration of documentary budgeting and scheduling.
2. SCHEDULE: The SCHEDULE tab is new! Before you can make a budget you will need to create a schedule to see how much shooting, editing, travel, etc. is planned, and how long each crew member or resource will be needed. Without this information, you cannot make an accurate budget. (And, whenever you revise your schedule, you will also need to revise your budget.)  
3. BUDGET GLOBALS: Once you have a schedule, and before you start budgeting, you have the option to create "Globals" on the BUDGET GLOBALS tab. Globals are numbers that will be needed frequently in your budget - like the number of shooting days or the number of edit weeks. Instead of entering these numbers on dozens of lines in the budget, you can enter them once on the Budget Globals tab and then use them "globally" throughout your budget. This makes adjustments easier and can save work and help prevent mistakes. 
For detailed instructions, see the Budget Globals tab. (If you choose not to use Globals, you will simply need to delete the name of each Global when it appears in a formula on the Budget Detail tab, and replace it with an actual number.)
4. BUDGET DETAIL: The bulk of your time will be spent slowly working through the BUDGET DETAIL tab, adapting each line item to your film's needs. Because each project is unique, you may find that this template is a great match for your project and needs few adaptations, or you may find that you need to adapt it significantly, for example, to add new line items for needs not covered by the template. 
Don't delete the lines that don’t match your needs till the very end though – keeping everything visible as long as possible will really help as you are brainstorming. Once you are finished though, you may choose to delete empty accounts (lines with zero being spent) to simplify your final budget. (That said, never delete a line that has zero cost but that does factor into your project. For example, if your sound person is budgeted at zero because you, as director, will be handling sound, leave the line for sound recordist where it is and just add a note saying “Director will handle sound”. That way, no one thinks you forgot to think about sound.)
Also, at the top of the Budget Detail tab, there are some basic project assumptions to fill in, such as the director and producer's names, shooting format, etc. There is also a mini-schedule that should calculate based on the Globals, if you are using them. 
5. BUDGET TOPSHEET: The BUDGET TOPSHEET is a summary of your budget and should calculate automatically from the Budget Detail. It should also automatically copy the film title, budget date, and budget assumptions from the Budget Detail. Please double check that everything has come through properly though. 
6. FINANCE PLAN: In another new addition, there is now a FINANCE PLAN tab, which you will likely need to submit along with your budget.
7. CURRENCY: This template is only designed to track a single currency - please adjust/use the budget with the currency that fits your needs. For projects shooting in multiple countries, or for co-productions that span multiple currencies, you may need to customize the template considerably. 
8. DOUBLE-CHECKING: Always double check your work! For example: do the subtotals on the Budget Detail tab add up to the total at the bottom? Do the Budget Detail tab and the Budget Topsheet match? Remember, because this template is provided in an open format, it is possible that you will accidentally delete or change a formula, especially if you add/delete lines. Always double check everything carefully. 
9. MAKING A FINAL PDF: Most budgets are submitted in PDF format. To create a final PDF, you will first need to export/"print as PDF" the Budget Topsheet and Budget Detail separately and then combine them into a single PDF using any PDF software. When you export, be careful that the margins are clean and, if necessary, select the correct print area on the spreadsheet to display the budget correctly. You may choose to include the Finance Plan in the same PDF as the budget, or to present it as a separate document. The Schedule would generally also be a separate document, but it's worth noting that many funders will just ask for a few paragraphs or a brief production timeline, rather than the full detailed schedule.
10. HELP WITH GOOGLE SHEETS OR MICROSOFT EXCEL: This template was developed and tested in Google Sheets and should work in both Google Sheets (free) and Microsoft Excel. If you need help learning either one, there are numerous helpful tutorials on YouTube and other sites.
11. A FINAL NOTE: Please be patient and remember that even an experienced documentary producer may need two weeks to properly schedule and budget a feature length documentary film. There is no substitute for the hours of research, e-mails and phone calls required to properly plan a film production, or for the advice of experienced local producers, directors, crew and vendors who have made similar films or worked in similar places, and who can provide recent, first hand experience. 
</t>
    </r>
    <r>
      <rPr>
        <b/>
        <sz val="12.0"/>
      </rPr>
      <t>ACCESSIBILITY</t>
    </r>
    <r>
      <rPr>
        <sz val="12.0"/>
      </rPr>
      <t xml:space="preserve">
Another exciting addition to this template is the inclusion of numerous line items relating to accessibility for D/deaf/hard-of-hearing, blind/low vision, disabled, and neurodivergent film crew, film participants and audiences. 
These line items generally have budget account codes that end with “80”. (For example, 2080, 4080, 4180, etc.) Note that some of these line items are filled in with actual costs, such as the closed captions and audio description services that will help make your film accessible to audiences and your team during production and post (i.e. captioned scenes or rough cuts). Other line items, however, are quite specific to the unique access requirements of your crew and participants, and list several options for you to budget based on individual requirements. 
As described below in “STORY CONCEPT &amp; BUDGET ASSUMPTIONS”, for the purpose of this template as an example, we have assumed that the Production Manager is a wheelchair user, and have budgeted appropriately for her accessibility needs.
For more details, please see "Part VI. Accessibility" in the budgeting article. Special thanks to </t>
    </r>
    <r>
      <rPr>
        <color rgb="FF1155CC"/>
        <sz val="12.0"/>
        <u/>
      </rPr>
      <t>FWD-Doc</t>
    </r>
    <r>
      <rPr>
        <sz val="12.0"/>
      </rPr>
      <t xml:space="preserve"> for having consulted on the accessibility-related aspects of this budget template, and without whose guidance this wouldn't have been possible, and special thanks for the generous support of </t>
    </r>
    <r>
      <rPr>
        <color rgb="FF1155CC"/>
        <sz val="12.0"/>
        <u/>
      </rPr>
      <t>Concordia Studios</t>
    </r>
    <r>
      <rPr>
        <sz val="12.0"/>
      </rPr>
      <t xml:space="preserve">  and </t>
    </r>
    <r>
      <rPr>
        <color rgb="FF1155CC"/>
        <sz val="12.0"/>
        <u/>
      </rPr>
      <t>The Concordia Fellowship</t>
    </r>
    <r>
      <rPr>
        <sz val="12.0"/>
      </rPr>
      <t xml:space="preserve"> for supporting this consultation. Special thanks to </t>
    </r>
    <r>
      <rPr>
        <color rgb="FF1155CC"/>
        <sz val="12.0"/>
        <u/>
      </rPr>
      <t>DPAN</t>
    </r>
    <r>
      <rPr>
        <sz val="12.0"/>
      </rPr>
      <t xml:space="preserve"> for feedback regarding accessibility, captions, audio descriptions and ASL interpretation. And special thanks to </t>
    </r>
    <r>
      <rPr>
        <color rgb="FF1155CC"/>
        <sz val="12.0"/>
        <u/>
      </rPr>
      <t>IDA</t>
    </r>
    <r>
      <rPr>
        <sz val="12.0"/>
      </rPr>
      <t xml:space="preserve"> for helping to inspire and manage this consultation process.
</t>
    </r>
    <r>
      <rPr>
        <b/>
        <sz val="12.0"/>
      </rPr>
      <t xml:space="preserve">STORY CONCEPT &amp; BUDGET ASSUMPTIONS
</t>
    </r>
    <r>
      <rPr>
        <sz val="12.0"/>
      </rPr>
      <t xml:space="preserve">
In order to make any budget, including this template, we need to know what story that we are telling, how that story will be told, and some other basic project assumptions. 
For this template, we have assumed that we are telling the story of a local community struggle somewhere in New York State, filmed largely in cinema vérité, shooting approximately 1 day per week for 12 months, with 10 sit-down interviews for context and background, and approximately 3 minutes of archival footage. (Please note that this is just an example. There are many other wonderful styles of documentary films including all-archival, personal essay, animation, doc-fiction hybrid, experimental, poetic, etc. The documentary form is infinite and this is merely one of many approaches that could have been chosen for this template!) 
Regarding the team, we assume that the film is being led by two people: a Director/Writer/DOP/Co-Producer who will shoot the cinema vérité days herself, and a Producer/Writer/Sound Recordist who will handle sound on the cinema vérité days himself. The interviews will require a bigger crew including a Director of Photography, Camera Assistant, Sound Recordist, Gaffer, Makeup and Data Wrangler, and the Director and Producer will not handle any of those roles on interview days. (For vérité/visuals days, the Data Wrangler will come every 3 days.) As mentioned under “ACCESSIBILITY” above, we have also assumed that the Production Manager is a wheelchair user, and have budgeted appropriately for her accessibility needs.
Finally, we have assumed that production &amp; editing will take place in New York, that the Director and Producer are local to the story and only need to travel for 2 interviews, that employees are subject to New York State payroll costs, and that the project is subject to US law.
</t>
    </r>
    <r>
      <rPr>
        <b/>
        <sz val="12.0"/>
      </rPr>
      <t>DISCLAIMER</t>
    </r>
    <r>
      <rPr>
        <sz val="12.0"/>
      </rPr>
      <t xml:space="preserve">
This template is designed as a teaching tool and the numbers in it are based on specific assumptions regarding story, schedule, team, location, etc., as described above. It is offered as a guide but should not be considered exhaustive. Each project has its own unique needs and you may need to make substantial changes to adapt this template to your project and process, or even to rewrite it completely. It is also important to acknowledge that budget formats, strategies and costs vary widely depending on professional experience levels, funder requirements, documentary traditions, film cultures, funding access, and geographical backgrounds. 
Please note that, while it has been made with great care, this template is offered "AS-IS" and is not guaranteed to be free of errors or omissions. Use it at your own risk, double check everything, and please consult with an experienced documentary producer, line producer or production manager for professional advice. 
</t>
    </r>
    <r>
      <rPr>
        <b/>
        <sz val="12.0"/>
      </rPr>
      <t xml:space="preserve">SHARING AND DISTRIBUTION OF THIS ARTICLE AND TEMPLATE
</t>
    </r>
    <r>
      <rPr>
        <sz val="12.0"/>
      </rPr>
      <t xml:space="preserve">
The article </t>
    </r>
    <r>
      <rPr>
        <b/>
        <sz val="12.0"/>
      </rPr>
      <t>"</t>
    </r>
    <r>
      <rPr>
        <b/>
        <color rgb="FF1155CC"/>
        <sz val="12.0"/>
        <u/>
      </rPr>
      <t>A Fresh 2025 Look at Documentary Budgeting and Scheduling (with new templates!)</t>
    </r>
    <r>
      <rPr>
        <b/>
        <sz val="12.0"/>
      </rPr>
      <t xml:space="preserve">" </t>
    </r>
    <r>
      <rPr>
        <sz val="12.0"/>
      </rPr>
      <t xml:space="preserve">and this template may be linked to freely by documentary film organizations, film funders, film schools, and filmmakers on the condition that it is not modified, it is not sold, and that it is properly credited. Please ONLY share the template via the original article link, so that it will always link to the most updated version.
</t>
    </r>
    <r>
      <rPr>
        <b/>
        <sz val="12.0"/>
      </rPr>
      <t>ACKNOWLEDGEMENTS</t>
    </r>
    <r>
      <rPr>
        <sz val="12.0"/>
      </rPr>
      <t xml:space="preserve">
Special thanks to Producer Lisa Remington for reviewing multiple drafts and providing ample feedback, and for years of truly excellent advice on earlier budget templates as well. Special thanks to Producer Itziar Garcia Zubiri for much guidance and support. 
Special thanks to FWD-Doc for having consulted on the accessibility-related aspects of this budget template, and for the generous support of Concordia Studios and Concordia Fellowships for supporting the consultation with FWD-Doc. Special thanks to DPAN-TV for feedback regarding accessibility and captions, audio descriptions, ASL interpretation, etc.
Finally, special thanks to editor Abby Sun and IDA for inviting me to update this article/template, for helping to inspire and manage the accessibility consultation, and for much input along the way. 
</t>
    </r>
    <r>
      <rPr>
        <b/>
        <sz val="12.0"/>
      </rPr>
      <t xml:space="preserve">THANK YOU AND HAPPY BUDGETING!
</t>
    </r>
    <r>
      <rPr>
        <sz val="12.0"/>
      </rPr>
      <t xml:space="preserve">
© 2024 Robert Bahar</t>
    </r>
  </si>
  <si>
    <t xml:space="preserve"> </t>
  </si>
  <si>
    <t>UNTITLED EXCELLENT DOCUMENTARY FILM</t>
  </si>
  <si>
    <r>
      <rPr>
        <rFont val="Arial"/>
        <b/>
        <color theme="1"/>
        <sz val="10.0"/>
      </rPr>
      <t xml:space="preserve">Schedule Date: </t>
    </r>
    <r>
      <rPr>
        <rFont val="Arial"/>
        <b val="0"/>
        <color theme="1"/>
        <sz val="10.0"/>
      </rPr>
      <t>3/1/2024</t>
    </r>
  </si>
  <si>
    <t>Prod/Dir</t>
  </si>
  <si>
    <t>Production staff</t>
  </si>
  <si>
    <t>Research</t>
  </si>
  <si>
    <t>Archive</t>
  </si>
  <si>
    <t>Editorial</t>
  </si>
  <si>
    <t>MONTH</t>
  </si>
  <si>
    <t>WEEK</t>
  </si>
  <si>
    <t>MONDAY DATE</t>
  </si>
  <si>
    <t>FUNDRAISING</t>
  </si>
  <si>
    <t>STORY RESEARCH</t>
  </si>
  <si>
    <t>ARCHIVAL</t>
  </si>
  <si>
    <t>SHOOT</t>
  </si>
  <si>
    <t>EDIT</t>
  </si>
  <si>
    <t>MUSIC</t>
  </si>
  <si>
    <t>POST</t>
  </si>
  <si>
    <t>DISTRIBUTION + IMPACT</t>
  </si>
  <si>
    <t>Director/Writer/DOP</t>
  </si>
  <si>
    <t>Producer/Writer/Sound</t>
  </si>
  <si>
    <t>Production Manager</t>
  </si>
  <si>
    <t>Prod/Acctg Coord</t>
  </si>
  <si>
    <t>Post Super</t>
  </si>
  <si>
    <t>Office PA</t>
  </si>
  <si>
    <t>Story Researcher</t>
  </si>
  <si>
    <t>Archival Researcher 1</t>
  </si>
  <si>
    <t>Archival Researcher 2</t>
  </si>
  <si>
    <t>Editor</t>
  </si>
  <si>
    <t>AE</t>
  </si>
  <si>
    <t>Add'l AE</t>
  </si>
  <si>
    <t>Continue</t>
  </si>
  <si>
    <t>Begin/continue</t>
  </si>
  <si>
    <t>Month 1</t>
  </si>
  <si>
    <t>fundraising</t>
  </si>
  <si>
    <t>story +</t>
  </si>
  <si>
    <t>investigative +</t>
  </si>
  <si>
    <t>legal research</t>
  </si>
  <si>
    <t>Month 2</t>
  </si>
  <si>
    <t>Orange</t>
  </si>
  <si>
    <t>means part-time</t>
  </si>
  <si>
    <t>&lt;&lt; PM 1/2 time</t>
  </si>
  <si>
    <t>Month 3</t>
  </si>
  <si>
    <t>the letter "i" below = interview shoot day</t>
  </si>
  <si>
    <t>Month 4</t>
  </si>
  <si>
    <t>the letter "v" below = visuals/vérité shoot day</t>
  </si>
  <si>
    <t>1v Prep/Cam test</t>
  </si>
  <si>
    <t>1v</t>
  </si>
  <si>
    <t>Month 5</t>
  </si>
  <si>
    <t>Month 6</t>
  </si>
  <si>
    <t xml:space="preserve">Start archive </t>
  </si>
  <si>
    <t>&lt;&lt; Archivist 2 dys/week</t>
  </si>
  <si>
    <t>Month 7</t>
  </si>
  <si>
    <t>search</t>
  </si>
  <si>
    <t>Month 8</t>
  </si>
  <si>
    <t>AE starts logging archive</t>
  </si>
  <si>
    <t>&amp; visuals/vérité</t>
  </si>
  <si>
    <t>per Editor's guidelines</t>
  </si>
  <si>
    <t>Archive needs?</t>
  </si>
  <si>
    <t>1i Prep/Cam test</t>
  </si>
  <si>
    <t>Month 9</t>
  </si>
  <si>
    <t>BLOCK 1</t>
  </si>
  <si>
    <t>2i Interviews</t>
  </si>
  <si>
    <t>Publicity Photos</t>
  </si>
  <si>
    <t>Wrap</t>
  </si>
  <si>
    <t>Month 10</t>
  </si>
  <si>
    <t>Prep</t>
  </si>
  <si>
    <t>BLOCK 2</t>
  </si>
  <si>
    <t>3i Interviews</t>
  </si>
  <si>
    <t>Month 11</t>
  </si>
  <si>
    <t>BLOCK 3</t>
  </si>
  <si>
    <t>Start Edit</t>
  </si>
  <si>
    <t>Month 12</t>
  </si>
  <si>
    <t>BLOCK 4</t>
  </si>
  <si>
    <t>Month 13</t>
  </si>
  <si>
    <t>Month 14</t>
  </si>
  <si>
    <t>1st Assembly</t>
  </si>
  <si>
    <t>Month 15</t>
  </si>
  <si>
    <t>Composers</t>
  </si>
  <si>
    <t>Graphics</t>
  </si>
  <si>
    <t>kickoff mtg</t>
  </si>
  <si>
    <t>Month 16</t>
  </si>
  <si>
    <t>Fact-check</t>
  </si>
  <si>
    <t>Cut 1</t>
  </si>
  <si>
    <t xml:space="preserve">Begin </t>
  </si>
  <si>
    <t>Begin</t>
  </si>
  <si>
    <t xml:space="preserve">collaboration </t>
  </si>
  <si>
    <t>collaboration</t>
  </si>
  <si>
    <t>Festival/Distribution</t>
  </si>
  <si>
    <t>Month 17</t>
  </si>
  <si>
    <t>w/composers</t>
  </si>
  <si>
    <t>w/graphics</t>
  </si>
  <si>
    <t>Strategy</t>
  </si>
  <si>
    <t>Cut 2</t>
  </si>
  <si>
    <t>Temp score?</t>
  </si>
  <si>
    <t>Temp graphics?</t>
  </si>
  <si>
    <t>Month 18</t>
  </si>
  <si>
    <t>Temp score (%)</t>
  </si>
  <si>
    <t>Temp graphics (%)</t>
  </si>
  <si>
    <t>Month 19</t>
  </si>
  <si>
    <t>Final</t>
  </si>
  <si>
    <t>Cut 3</t>
  </si>
  <si>
    <t>fact-check</t>
  </si>
  <si>
    <t>script</t>
  </si>
  <si>
    <t>Month 20</t>
  </si>
  <si>
    <t xml:space="preserve">Archival </t>
  </si>
  <si>
    <t>Temp score</t>
  </si>
  <si>
    <t>Temp graphics</t>
  </si>
  <si>
    <t>licensing &amp; master clips</t>
  </si>
  <si>
    <t>Cut 4 (Fine Cut)</t>
  </si>
  <si>
    <t>Deliver Picture</t>
  </si>
  <si>
    <t>months</t>
  </si>
  <si>
    <t>Wrap edit room</t>
  </si>
  <si>
    <t>Final composing</t>
  </si>
  <si>
    <t>Post</t>
  </si>
  <si>
    <t>Trailer, key art,</t>
  </si>
  <si>
    <t>Month 21</t>
  </si>
  <si>
    <t>AE post prep</t>
  </si>
  <si>
    <t>(12 wks)</t>
  </si>
  <si>
    <t>social clips,</t>
  </si>
  <si>
    <t>press materials</t>
  </si>
  <si>
    <t>Finalize music</t>
  </si>
  <si>
    <t>Arrange</t>
  </si>
  <si>
    <t>Month 22</t>
  </si>
  <si>
    <t>Record</t>
  </si>
  <si>
    <t>Music Mix</t>
  </si>
  <si>
    <t>Month 23</t>
  </si>
  <si>
    <t>QC &amp; Delivery</t>
  </si>
  <si>
    <t>(4 wks)</t>
  </si>
  <si>
    <t>Month 24</t>
  </si>
  <si>
    <t>READY TO</t>
  </si>
  <si>
    <t>PREMIERE</t>
  </si>
  <si>
    <t>BUDGET GRAND TOTAL:</t>
  </si>
  <si>
    <t>BUDGET GLOBALS</t>
  </si>
  <si>
    <r>
      <rPr>
        <rFont val="Arimo"/>
        <b/>
        <color rgb="FF000000"/>
        <sz val="12.0"/>
      </rPr>
      <t>INSTRUCTIONS:</t>
    </r>
    <r>
      <rPr>
        <rFont val="Arimo"/>
        <color rgb="FF000000"/>
        <sz val="12.0"/>
      </rPr>
      <t xml:space="preserve"> 
"Globals" are used for numbers that will be needed frequently in your budget, like the number of shooting days or the number of edit weeks. Instead of entering these numbers on dozens of lines in the budget, you can enter them once here and then use them "globally" throughout the budget. This makes adjustments easier and can save work and help prevent mistakes.
For example, the number of interview shoot days is defined as "SHOOTINTW_DAYS" in cell C6. The word SHOOTINTW_DAYS is then used in formulas throughout the budget and, whenever you want to change the number of interview shoot days, you can just change the value in cell C6, and the budget will recalculate automatically. This is much more efficient than updating multiple budget lines. Two simple examples of formulas using Globals are shown below.
To see how Globals are defined, or to create additional Globals yourself, here's an example: click on cell C6, which contains the number of interview shoot days. In the "name box" on the upper left, to the left of the formula bar and below the file menu, you will see the word SHOOTINTW_DAYS. This is where the name is defined and where you can define new names (if the cell didn't have a name, you would just see the cell number C6 in the name box). Alternately, you can access these names in Google Sheets via the menu DATA &gt; NAMED RANGE.
To help you quickly see the impact of changing a Global, the BUDGET GRAND TOTAL is shown on the top-right of this tab.</t>
    </r>
  </si>
  <si>
    <t>Remember: the numbers of days, weeks or months entered here should match your schedule.</t>
  </si>
  <si>
    <t>GLOBAL NAME</t>
  </si>
  <si>
    <t>AMOUNT</t>
  </si>
  <si>
    <t>DESCRIPTION</t>
  </si>
  <si>
    <t>SHOOTINTW_DAYS</t>
  </si>
  <si>
    <t>days shooting interviews</t>
  </si>
  <si>
    <t>SHOOTVIS_DAYS</t>
  </si>
  <si>
    <t>days shooting visuals</t>
  </si>
  <si>
    <t>SOUND_DAYS</t>
  </si>
  <si>
    <t>days w/sound recordist</t>
  </si>
  <si>
    <t>BCAM_DAYS</t>
  </si>
  <si>
    <t>days w/ additional "B" camera</t>
  </si>
  <si>
    <t>RESEARCH_WEEKS</t>
  </si>
  <si>
    <t>weeks research</t>
  </si>
  <si>
    <t>PREP_WEEKS</t>
  </si>
  <si>
    <t>weeks pre-production ("prep")</t>
  </si>
  <si>
    <t xml:space="preserve">    OVERLAP1</t>
  </si>
  <si>
    <t>weeks research/prep overlap</t>
  </si>
  <si>
    <t>PROD_WEEKS</t>
  </si>
  <si>
    <t>weeks production</t>
  </si>
  <si>
    <t>EDIT_WEEKS</t>
  </si>
  <si>
    <t>weeks editing</t>
  </si>
  <si>
    <t xml:space="preserve">    OVERLAP2</t>
  </si>
  <si>
    <t>weeks prod/edit overlap</t>
  </si>
  <si>
    <t>FINISH_WEEKS</t>
  </si>
  <si>
    <t>weeks finishing</t>
  </si>
  <si>
    <t>TOTAL_WEEKS</t>
  </si>
  <si>
    <t>weeks total</t>
  </si>
  <si>
    <t>TOTAL_MONTHS</t>
  </si>
  <si>
    <t>months total</t>
  </si>
  <si>
    <t>CONTINGENCY</t>
  </si>
  <si>
    <t>Contingency</t>
  </si>
  <si>
    <t>MISC</t>
  </si>
  <si>
    <t>Miscellaneous</t>
  </si>
  <si>
    <t>FISCAL</t>
  </si>
  <si>
    <t>Fiscal Sponsor Fees</t>
  </si>
  <si>
    <t>Payroll taxes and costs (calculated for New York State, USA)*</t>
  </si>
  <si>
    <t>FRINGE</t>
  </si>
  <si>
    <t>FICA, Medicare, Workers Comp, Payroll, FUTA, NYS SUTA+RS</t>
  </si>
  <si>
    <r>
      <rPr>
        <rFont val="Arimo"/>
        <b/>
        <color theme="1"/>
        <sz val="9.0"/>
      </rPr>
      <t xml:space="preserve">*This is the detailed breakdown of New York State payroll taxes/costs </t>
    </r>
    <r>
      <rPr>
        <rFont val="Arimo"/>
        <b val="0"/>
        <color theme="1"/>
        <sz val="9.0"/>
      </rPr>
      <t>(see note below)</t>
    </r>
    <r>
      <rPr>
        <rFont val="Arimo"/>
        <b/>
        <color theme="1"/>
        <sz val="9.0"/>
      </rPr>
      <t>. You will need to research the taxes, social security and other costs that apply to employees wherever you are based/working.</t>
    </r>
  </si>
  <si>
    <t>***EXAMPLE***</t>
  </si>
  <si>
    <t>&lt;&lt;&lt; the formula in this cell uses "SHOOTINT_DAYS" to show the number of interview shoot days</t>
  </si>
  <si>
    <t>Employer Social Security rate is 6.2%</t>
  </si>
  <si>
    <t>&lt;&lt;&lt; the formula in this cell adds the edit weeks (EDIT_WEEKS) and the post/finishing weeks (FINISH_WEEKS)</t>
  </si>
  <si>
    <t>Employer Medicare rate is 1.45%</t>
  </si>
  <si>
    <t>Federal Unemployment (FUTA) is .6%</t>
  </si>
  <si>
    <t>NYS Unemployment (SUTA) varies but is 4.025% for new employers</t>
  </si>
  <si>
    <t>NYS Re-employment Svc (RS) Fund - .075%</t>
  </si>
  <si>
    <t>Note: there are some additional technicalities to USA payroll costs, such as applying wage based limits, that are beyond the scope of this budget template. More importantly though, the simple percentage-based approach used here is also the safer approach because it protects you in case employees are replaced midway through the production, or salaries are spread across multiple calendar years, which would potentially eliminate any savings you might have realized with a more complicated calculation.</t>
  </si>
  <si>
    <t>ACCT</t>
  </si>
  <si>
    <t>#</t>
  </si>
  <si>
    <t>UNIT</t>
  </si>
  <si>
    <t>X</t>
  </si>
  <si>
    <t>RATE</t>
  </si>
  <si>
    <t>TOTAL $ COST</t>
  </si>
  <si>
    <t>(*DO NOT PRINT</t>
  </si>
  <si>
    <t>THIS COLUMN*)</t>
  </si>
  <si>
    <r>
      <rPr>
        <rFont val="Arimo"/>
        <b/>
        <color theme="1"/>
        <sz val="9.0"/>
      </rPr>
      <t xml:space="preserve">BUDGET DATE:  </t>
    </r>
    <r>
      <rPr>
        <rFont val="Arial"/>
        <b val="0"/>
        <color theme="1"/>
        <sz val="9.0"/>
      </rPr>
      <t>3/1/2024</t>
    </r>
  </si>
  <si>
    <r>
      <rPr>
        <rFont val="Arimo"/>
        <b/>
        <color theme="1"/>
        <sz val="9.0"/>
      </rPr>
      <t xml:space="preserve">PRODUCTION COMPANY:  </t>
    </r>
    <r>
      <rPr>
        <rFont val="Geneva"/>
        <b val="0"/>
        <color theme="1"/>
        <sz val="9.0"/>
      </rPr>
      <t>Great Docu Films Inc.</t>
    </r>
  </si>
  <si>
    <t>Research:</t>
  </si>
  <si>
    <t>weeks</t>
  </si>
  <si>
    <r>
      <rPr>
        <rFont val="Arimo"/>
        <b/>
        <color theme="1"/>
        <sz val="9.0"/>
      </rPr>
      <t>DIRECTOR :</t>
    </r>
    <r>
      <rPr>
        <rFont val="Geneva"/>
        <b val="0"/>
        <color theme="1"/>
        <sz val="9.0"/>
      </rPr>
      <t xml:space="preserve"> Excellent Director</t>
    </r>
  </si>
  <si>
    <t>Prep:</t>
  </si>
  <si>
    <t>weeks (overlaps with research)</t>
  </si>
  <si>
    <r>
      <rPr>
        <rFont val="Arimo"/>
        <b/>
        <color theme="1"/>
        <sz val="9.0"/>
      </rPr>
      <t xml:space="preserve">PRODUCER:  </t>
    </r>
    <r>
      <rPr>
        <rFont val="Geneva"/>
        <b val="0"/>
        <color theme="1"/>
        <sz val="9.0"/>
      </rPr>
      <t>Excellent Producer</t>
    </r>
  </si>
  <si>
    <t>Shoot Days:</t>
  </si>
  <si>
    <t>12 interview days+53 vérité days</t>
  </si>
  <si>
    <r>
      <rPr>
        <rFont val="Arimo"/>
        <b/>
        <color theme="1"/>
        <sz val="9.0"/>
      </rPr>
      <t xml:space="preserve">EDITOR: </t>
    </r>
    <r>
      <rPr>
        <rFont val="Arimo"/>
        <b val="0"/>
        <color theme="1"/>
        <sz val="9.0"/>
      </rPr>
      <t>Super Cutter</t>
    </r>
  </si>
  <si>
    <t>Shoot/Production Period:</t>
  </si>
  <si>
    <r>
      <rPr>
        <rFont val="Arimo"/>
        <b/>
        <color theme="1"/>
        <sz val="9.0"/>
      </rPr>
      <t xml:space="preserve">LINE PRODUCER: </t>
    </r>
    <r>
      <rPr>
        <rFont val="Arial"/>
        <b val="0"/>
        <color theme="1"/>
        <sz val="9.0"/>
      </rPr>
      <t>OnBudget Smithee</t>
    </r>
  </si>
  <si>
    <t>Edit:</t>
  </si>
  <si>
    <t>weeks (overlaps with shoot)</t>
  </si>
  <si>
    <t>Finishing/Post:</t>
  </si>
  <si>
    <r>
      <rPr>
        <rFont val="Arimo"/>
        <b/>
        <color theme="1"/>
        <sz val="9.0"/>
      </rPr>
      <t xml:space="preserve">BUDGET PREPARED BY:  </t>
    </r>
    <r>
      <rPr>
        <rFont val="Arial"/>
        <b val="0"/>
        <color theme="1"/>
        <sz val="9.0"/>
      </rPr>
      <t>OnBudget Smithee</t>
    </r>
  </si>
  <si>
    <t>TOTAL WEEKS:</t>
  </si>
  <si>
    <t>TOTAL MONTHS:</t>
  </si>
  <si>
    <r>
      <rPr>
        <rFont val="Arimo"/>
        <b/>
        <color theme="1"/>
        <sz val="9.0"/>
      </rPr>
      <t xml:space="preserve">LENGTH: </t>
    </r>
    <r>
      <rPr>
        <rFont val="Arial"/>
        <b val="0"/>
        <color theme="1"/>
        <sz val="9.0"/>
      </rPr>
      <t>95 min (approx.)</t>
    </r>
  </si>
  <si>
    <t>DELIVERY DATE:</t>
  </si>
  <si>
    <t>TBD</t>
  </si>
  <si>
    <r>
      <rPr>
        <rFont val="Arial"/>
        <b/>
        <color theme="1"/>
        <sz val="9.0"/>
      </rPr>
      <t>Original Footage:</t>
    </r>
    <r>
      <rPr>
        <rFont val="Arial"/>
        <color theme="1"/>
        <sz val="9.0"/>
      </rPr>
      <t xml:space="preserve"> 90 min</t>
    </r>
  </si>
  <si>
    <r>
      <rPr>
        <rFont val="Arial"/>
        <b/>
        <color theme="1"/>
        <sz val="9.0"/>
      </rPr>
      <t>Archival Footage:</t>
    </r>
    <r>
      <rPr>
        <rFont val="Arial"/>
        <color theme="1"/>
        <sz val="9.0"/>
      </rPr>
      <t xml:space="preserve"> 3 min</t>
    </r>
  </si>
  <si>
    <t xml:space="preserve">LOCATIONS: </t>
  </si>
  <si>
    <t>New York, Los Angeles, Houston</t>
  </si>
  <si>
    <r>
      <rPr>
        <rFont val="Arial"/>
        <b/>
        <color theme="1"/>
        <sz val="9.0"/>
      </rPr>
      <t>Graphics/Animation:</t>
    </r>
    <r>
      <rPr>
        <rFont val="Arial"/>
        <color theme="1"/>
        <sz val="9.0"/>
      </rPr>
      <t xml:space="preserve"> 2 min (Opening title, End credits)</t>
    </r>
  </si>
  <si>
    <t>UNION/GUILD:</t>
  </si>
  <si>
    <t>Non-Union</t>
  </si>
  <si>
    <r>
      <rPr>
        <rFont val="Arimo"/>
        <b/>
        <color theme="1"/>
        <sz val="9.0"/>
      </rPr>
      <t xml:space="preserve">SHOOTING FORMAT: </t>
    </r>
    <r>
      <rPr>
        <rFont val="Arial"/>
        <b val="0"/>
        <color theme="1"/>
        <sz val="9.0"/>
      </rPr>
      <t>4K UHD</t>
    </r>
  </si>
  <si>
    <t>ADDITIONAL NOTE #1:</t>
  </si>
  <si>
    <r>
      <rPr>
        <rFont val="Arimo"/>
        <b/>
        <color theme="1"/>
        <sz val="9.0"/>
      </rPr>
      <t>EDITING FORMAT:</t>
    </r>
    <r>
      <rPr>
        <rFont val="Arimo"/>
        <color theme="1"/>
        <sz val="9.0"/>
      </rPr>
      <t xml:space="preserve"> Avid DNX36 offline</t>
    </r>
  </si>
  <si>
    <t>ADDITIONAL NOTE #2:</t>
  </si>
  <si>
    <r>
      <rPr>
        <rFont val="Arimo"/>
        <b/>
        <color theme="1"/>
        <sz val="9.0"/>
      </rPr>
      <t>FINISHING FORMAT:</t>
    </r>
    <r>
      <rPr>
        <rFont val="Arimo"/>
        <color theme="1"/>
        <sz val="9.0"/>
      </rPr>
      <t xml:space="preserve"> 4K UHD (Quicktime, IMF, DCP)</t>
    </r>
  </si>
  <si>
    <t>ADDITIONAL NOTE #3:</t>
  </si>
  <si>
    <t>STORY RIGHTS, RESEARCH &amp; PROJECT DEVELOPMENT</t>
  </si>
  <si>
    <t>STORY &amp; OTHER RIGHTS</t>
  </si>
  <si>
    <t>Story Rights-Option</t>
  </si>
  <si>
    <t>flat</t>
  </si>
  <si>
    <t>Story Rights-Purchase</t>
  </si>
  <si>
    <t>allow</t>
  </si>
  <si>
    <t>RESEARCH</t>
  </si>
  <si>
    <t>Books</t>
  </si>
  <si>
    <t>Videos, Screenings</t>
  </si>
  <si>
    <t>Research Meetings</t>
  </si>
  <si>
    <r>
      <rPr>
        <rFont val="Arimo"/>
        <color theme="1"/>
        <sz val="9.0"/>
      </rPr>
      <t xml:space="preserve">Research Consultants </t>
    </r>
    <r>
      <rPr>
        <rFont val="Arimo"/>
        <i/>
        <color theme="1"/>
        <sz val="9.0"/>
      </rPr>
      <t>(subject-area experts, legal, archive, impact, etc.)</t>
    </r>
  </si>
  <si>
    <t>days</t>
  </si>
  <si>
    <t>Misc Research</t>
  </si>
  <si>
    <t>RESEARCH TRAVEL</t>
  </si>
  <si>
    <t>RESEARCH TRIP #1: Dir, Prod travel NYC-&gt;Houston for 2 nights</t>
  </si>
  <si>
    <t>Airfare/Railfare</t>
  </si>
  <si>
    <t>R/T</t>
  </si>
  <si>
    <t>Add'l Baggage Fees for equipment</t>
  </si>
  <si>
    <t>fees</t>
  </si>
  <si>
    <t>Hotel/Lodging</t>
  </si>
  <si>
    <t>hotel-nights</t>
  </si>
  <si>
    <t>Local Transport/Taxis/Car Service/Car Rental/Public Transport</t>
  </si>
  <si>
    <t>Meals &amp; Per Diem</t>
  </si>
  <si>
    <r>
      <rPr>
        <rFont val="Arimo"/>
        <color theme="1"/>
        <sz val="9.0"/>
      </rPr>
      <t xml:space="preserve">Accessibility for Travel
</t>
    </r>
    <r>
      <rPr>
        <rFont val="Arimo"/>
        <i/>
        <color theme="1"/>
        <sz val="9.0"/>
      </rPr>
      <t>(Accessibility requirements could include a flight upgrade for more accessible seating, mobility equipment, car service instead of public transport, wheelchair van/lift, or assistance from a personal assistant, rest days, etc.)</t>
    </r>
  </si>
  <si>
    <t>Misc Research Travel</t>
  </si>
  <si>
    <t>WRITTEN PROPOSAL, BUDGET/SCHEDULE, OTHER FUNDRAISING COSTS</t>
  </si>
  <si>
    <t>Written Treatment/Proposal (grant writer)</t>
  </si>
  <si>
    <t>Fundraising/Pitch Deck</t>
  </si>
  <si>
    <t>Budget/Schedule</t>
  </si>
  <si>
    <t>Cashflow</t>
  </si>
  <si>
    <t>Printed materials, one-sheets, postcards, etc.</t>
  </si>
  <si>
    <t>Fees for attending markets</t>
  </si>
  <si>
    <t>Misc fundraising costs &amp; materials</t>
  </si>
  <si>
    <t>PRODUCTION OF "TEST SHOOTS" OR "SPECIAL SHOOTS" FOR SAMPLE TEASER</t>
  </si>
  <si>
    <t xml:space="preserve">Only use this section if you are doing special shoots that are only for the fundraising sample teaser. If the material for the sample teaser will come from your early footage and not from special shoots, budget for that as normal, below in the main production section. </t>
  </si>
  <si>
    <t>Director/Writer/Co-Producer</t>
  </si>
  <si>
    <t>Producer/Writer</t>
  </si>
  <si>
    <t>Director of Photography</t>
  </si>
  <si>
    <t>Sound</t>
  </si>
  <si>
    <t>Production Assistants</t>
  </si>
  <si>
    <t>Talent</t>
  </si>
  <si>
    <t>Camera/Lighting/Grip Equipment Rental</t>
  </si>
  <si>
    <t>Sound Equipment Rental</t>
  </si>
  <si>
    <t>Other Production Expenses</t>
  </si>
  <si>
    <t>Insurance</t>
  </si>
  <si>
    <t>Office &amp; Admin</t>
  </si>
  <si>
    <r>
      <rPr>
        <rFont val="Arimo"/>
        <color theme="1"/>
        <sz val="9.0"/>
      </rPr>
      <t xml:space="preserve">Accessibility for Test/Special Shoots
</t>
    </r>
    <r>
      <rPr>
        <rFont val="Arimo"/>
        <i/>
        <color theme="1"/>
        <sz val="9.0"/>
      </rPr>
      <t>(Accessibility requirements can vary. See 5380 and 5880 for details)</t>
    </r>
  </si>
  <si>
    <t>Union and Guild Fees</t>
  </si>
  <si>
    <t>%</t>
  </si>
  <si>
    <t>Personnel Taxes (FICA, Medicare, Workers Comp, FUTA, NYS SUTA+RS, Payroll)</t>
  </si>
  <si>
    <t>payroll</t>
  </si>
  <si>
    <t>EDITING &amp; POST-PRODUCTION FOR SAMPLE TEASER</t>
  </si>
  <si>
    <r>
      <rPr>
        <rFont val="Arimo"/>
        <color theme="1"/>
        <sz val="9.0"/>
      </rPr>
      <t xml:space="preserve">Editor </t>
    </r>
    <r>
      <rPr>
        <rFont val="Arimo"/>
        <i/>
        <color theme="1"/>
        <sz val="9.0"/>
      </rPr>
      <t>(contractor)</t>
    </r>
  </si>
  <si>
    <t xml:space="preserve">Assistant Editor </t>
  </si>
  <si>
    <t>Edit Room Rental + Editorial Expenses</t>
  </si>
  <si>
    <r>
      <rPr>
        <rFont val="Arimo"/>
        <color theme="1"/>
        <sz val="9.0"/>
      </rPr>
      <t>Online/Conform/Color/Graphics</t>
    </r>
    <r>
      <rPr>
        <rFont val="Arial"/>
        <i/>
        <color theme="1"/>
        <sz val="9.0"/>
      </rPr>
      <t xml:space="preserve"> (none, finished on edit system)</t>
    </r>
  </si>
  <si>
    <r>
      <rPr>
        <rFont val="Arimo"/>
        <color theme="1"/>
        <sz val="9.0"/>
      </rPr>
      <t xml:space="preserve">Music </t>
    </r>
    <r>
      <rPr>
        <rFont val="Arimo"/>
        <i/>
        <color theme="1"/>
        <sz val="9.0"/>
      </rPr>
      <t>(none, composers offered previous tracks)</t>
    </r>
  </si>
  <si>
    <r>
      <rPr>
        <rFont val="Arimo"/>
        <color theme="1"/>
        <sz val="9.0"/>
      </rPr>
      <t>Sound Edit/Mix</t>
    </r>
    <r>
      <rPr>
        <rFont val="Arial"/>
        <i/>
        <color theme="1"/>
        <sz val="9.0"/>
      </rPr>
      <t xml:space="preserve"> (none, finished on edit system)</t>
    </r>
  </si>
  <si>
    <r>
      <rPr>
        <rFont val="Arimo"/>
        <color theme="1"/>
        <sz val="9.0"/>
      </rPr>
      <t xml:space="preserve">Closed Captioning (CC) </t>
    </r>
    <r>
      <rPr>
        <rFont val="Arimo"/>
        <i/>
        <color theme="1"/>
        <sz val="9.0"/>
      </rPr>
      <t>(temp burn-in subs from edit system)</t>
    </r>
  </si>
  <si>
    <t>minute</t>
  </si>
  <si>
    <r>
      <rPr>
        <rFont val="Arimo"/>
        <color theme="1"/>
        <sz val="9.0"/>
      </rPr>
      <t>Audio Description Services</t>
    </r>
    <r>
      <rPr>
        <rFont val="Arimo"/>
        <i/>
        <color theme="1"/>
        <sz val="9.0"/>
      </rPr>
      <t xml:space="preserve"> (temp track from edit team)</t>
    </r>
  </si>
  <si>
    <r>
      <rPr>
        <rFont val="Arimo"/>
        <color theme="1"/>
        <sz val="9.0"/>
      </rPr>
      <t xml:space="preserve">Transcript (including all audible and visual elements) </t>
    </r>
    <r>
      <rPr>
        <rFont val="Arimo"/>
        <i/>
        <color theme="1"/>
        <sz val="9.0"/>
      </rPr>
      <t>(In-house)</t>
    </r>
  </si>
  <si>
    <t>cuts</t>
  </si>
  <si>
    <t>Accessibility for Editing/Post for Sample Teaser</t>
  </si>
  <si>
    <t>FUNDRAISING TRAVEL</t>
  </si>
  <si>
    <t>FUNDRAISING TRIP #1: Producer travel NYC -&gt; LA for meetings/pitch</t>
  </si>
  <si>
    <r>
      <rPr>
        <rFont val="Arimo"/>
        <color theme="1"/>
        <sz val="9.0"/>
      </rPr>
      <t>Accessibility for Travel</t>
    </r>
    <r>
      <rPr>
        <rFont val="Arimo"/>
        <i/>
        <color theme="1"/>
        <sz val="9.0"/>
      </rPr>
      <t xml:space="preserve"> (see 1280 for details)</t>
    </r>
  </si>
  <si>
    <t>Misc Fundraising Travel</t>
  </si>
  <si>
    <t>TOTAL</t>
  </si>
  <si>
    <t>PRODUCING STAFF</t>
  </si>
  <si>
    <t>DIRECTORS, PRODUCERS, WRITERS</t>
  </si>
  <si>
    <r>
      <rPr>
        <rFont val="Arimo"/>
        <color theme="1"/>
        <sz val="9.0"/>
      </rPr>
      <t xml:space="preserve">Director/Writer/DOP/Co-Producer  
</t>
    </r>
    <r>
      <rPr>
        <rFont val="Arial"/>
        <i/>
        <color theme="1"/>
        <sz val="9.0"/>
      </rPr>
      <t>(approx. $60k/yr or $5k/month for 24 mos.) (contractor)</t>
    </r>
  </si>
  <si>
    <r>
      <rPr>
        <rFont val="Arimo"/>
        <color theme="1"/>
        <sz val="9.0"/>
      </rPr>
      <t xml:space="preserve">Producer/Writer/Sound
</t>
    </r>
    <r>
      <rPr>
        <rFont val="Arimo"/>
        <i/>
        <color theme="1"/>
        <sz val="9.0"/>
      </rPr>
      <t>(approx. $60k/yr or $5k/month for 24 mos.) (contractor)</t>
    </r>
  </si>
  <si>
    <t>Executive Producer</t>
  </si>
  <si>
    <t>Co-Producer</t>
  </si>
  <si>
    <t>Associate Producer</t>
  </si>
  <si>
    <t>week</t>
  </si>
  <si>
    <t>Writer</t>
  </si>
  <si>
    <r>
      <rPr>
        <rFont val="Arimo"/>
        <color theme="1"/>
        <sz val="9.0"/>
      </rPr>
      <t xml:space="preserve">Accessibility for Directors, Producers, Writers
</t>
    </r>
    <r>
      <rPr>
        <rFont val="Arimo"/>
        <i/>
        <color theme="1"/>
        <sz val="9.0"/>
      </rPr>
      <t>(Accessibility requirements will vary and could include an ASL interpreter, note-taker, assistance from a personal assistant, more time or rest time during shoots, rest space, quiet space, interpreter rest space, service animal rest space, mobility equipment, screenreaders, accessible toilets, etc.)</t>
    </r>
  </si>
  <si>
    <t>TALENT</t>
  </si>
  <si>
    <t>Actors (i.e. on screen re-creations)</t>
  </si>
  <si>
    <t>Voice Actors</t>
  </si>
  <si>
    <t>hours</t>
  </si>
  <si>
    <t>Narrator</t>
  </si>
  <si>
    <t>Casting Director</t>
  </si>
  <si>
    <t>Voice Actor Contractor Fee (coordinate 3-8 voice actors, 4hr session)</t>
  </si>
  <si>
    <r>
      <rPr>
        <rFont val="Arimo"/>
        <color theme="1"/>
        <sz val="9.0"/>
      </rPr>
      <t xml:space="preserve">Accessibility for Talent </t>
    </r>
    <r>
      <rPr>
        <rFont val="Arimo"/>
        <i/>
        <color theme="1"/>
        <sz val="9.0"/>
      </rPr>
      <t>(see 2080 for details)</t>
    </r>
  </si>
  <si>
    <t>Talent Agency Fees</t>
  </si>
  <si>
    <t>Union &amp; Guild Fees (SAG P&amp;H)</t>
  </si>
  <si>
    <t>ATL</t>
  </si>
  <si>
    <t>SUBTOTAL ABOVE-THE-LINE (ATL)</t>
  </si>
  <si>
    <t>STAFF</t>
  </si>
  <si>
    <t>PRODUCTION STAFF</t>
  </si>
  <si>
    <r>
      <rPr>
        <rFont val="Arimo"/>
        <color theme="1"/>
        <sz val="9.0"/>
      </rPr>
      <t xml:space="preserve">Line Producer </t>
    </r>
    <r>
      <rPr>
        <rFont val="Arimo"/>
        <i/>
        <color theme="1"/>
        <sz val="9.0"/>
      </rPr>
      <t>(half-time)</t>
    </r>
  </si>
  <si>
    <t>Unit Production Manager</t>
  </si>
  <si>
    <t>Production Coordinator</t>
  </si>
  <si>
    <t>Post Production Supervisor</t>
  </si>
  <si>
    <t>Post Production Coordinator</t>
  </si>
  <si>
    <t xml:space="preserve">Accessibility Coordinator/ Production Access Coordinator </t>
  </si>
  <si>
    <t xml:space="preserve">    Pre-Production</t>
  </si>
  <si>
    <t xml:space="preserve">    Production</t>
  </si>
  <si>
    <t xml:space="preserve">    Post-Production</t>
  </si>
  <si>
    <r>
      <rPr>
        <rFont val="Arimo"/>
        <color theme="1"/>
        <sz val="9.0"/>
      </rPr>
      <t>Production Accountant</t>
    </r>
    <r>
      <rPr>
        <rFont val="Geneva"/>
        <i/>
        <color theme="1"/>
        <sz val="9.0"/>
      </rPr>
      <t xml:space="preserve"> (see 9300 Professional Services)</t>
    </r>
  </si>
  <si>
    <t>Story/Investigative Researcher</t>
  </si>
  <si>
    <t>Archival Producer</t>
  </si>
  <si>
    <r>
      <rPr>
        <rFont val="Arimo"/>
        <color theme="1"/>
        <sz val="9.0"/>
      </rPr>
      <t xml:space="preserve">Archival Researcher </t>
    </r>
    <r>
      <rPr>
        <rFont val="Arimo"/>
        <i/>
        <color theme="1"/>
        <sz val="9.0"/>
      </rPr>
      <t>(part-time 2dys/wk)</t>
    </r>
  </si>
  <si>
    <t>Office Production Assistant (PA1)</t>
  </si>
  <si>
    <r>
      <rPr>
        <rFont val="Arimo"/>
        <color theme="1"/>
        <sz val="9.0"/>
      </rPr>
      <t xml:space="preserve">Accessibility for Production Staff </t>
    </r>
    <r>
      <rPr>
        <rFont val="Arimo"/>
        <i/>
        <color theme="1"/>
        <sz val="9.0"/>
      </rPr>
      <t>(see 2080 for details)</t>
    </r>
  </si>
  <si>
    <t>Union &amp; Guild Fees</t>
  </si>
  <si>
    <t>salary</t>
  </si>
  <si>
    <r>
      <rPr>
        <rFont val="Arimo"/>
        <b/>
        <color theme="1"/>
        <sz val="9.0"/>
      </rPr>
      <t xml:space="preserve">PRODUCTION CREW </t>
    </r>
    <r>
      <rPr>
        <rFont val="Arimo"/>
        <b val="0"/>
        <color theme="1"/>
        <sz val="9.0"/>
      </rPr>
      <t>(10hrs/shoot day)</t>
    </r>
  </si>
  <si>
    <t xml:space="preserve">    Prep</t>
  </si>
  <si>
    <t xml:space="preserve">    Location Scout</t>
  </si>
  <si>
    <t xml:space="preserve">    Camera Test</t>
  </si>
  <si>
    <t xml:space="preserve">    Interviews</t>
  </si>
  <si>
    <r>
      <rPr>
        <rFont val="Arimo"/>
        <color theme="1"/>
        <sz val="9.0"/>
      </rPr>
      <t xml:space="preserve">    Visuals/Verite </t>
    </r>
    <r>
      <rPr>
        <rFont val="Arimo"/>
        <i/>
        <color theme="1"/>
        <sz val="9.0"/>
      </rPr>
      <t>(Director/DOP will shoot)</t>
    </r>
  </si>
  <si>
    <r>
      <rPr>
        <rFont val="Arimo"/>
        <color theme="1"/>
        <sz val="9.0"/>
      </rPr>
      <t xml:space="preserve">    Aerials/Drone </t>
    </r>
    <r>
      <rPr>
        <rFont val="Arimo"/>
        <i/>
        <color theme="1"/>
        <sz val="9.0"/>
      </rPr>
      <t>(DP supervise Drone/Aerials listed inder 5060)</t>
    </r>
  </si>
  <si>
    <t xml:space="preserve">    Color Grading</t>
  </si>
  <si>
    <t>"B" Camera Operator</t>
  </si>
  <si>
    <t>Steadicam Operator</t>
  </si>
  <si>
    <t>Unit Still Photographer</t>
  </si>
  <si>
    <t>Assistant Camera/Focus Puller</t>
  </si>
  <si>
    <t xml:space="preserve">    Equipment Check-Out</t>
  </si>
  <si>
    <t xml:space="preserve">    Visuals/Verite</t>
  </si>
  <si>
    <t>Digital Image Technician (DIT)</t>
  </si>
  <si>
    <t>Data Wrangler</t>
  </si>
  <si>
    <t>Gaffer</t>
  </si>
  <si>
    <t xml:space="preserve">    Prep/Equipment Check-Out</t>
  </si>
  <si>
    <t>Electrician/Swing</t>
  </si>
  <si>
    <t>Key Grip</t>
  </si>
  <si>
    <t>Dolly Grip</t>
  </si>
  <si>
    <t>Sound Recordist</t>
  </si>
  <si>
    <r>
      <rPr>
        <rFont val="Arimo"/>
        <color theme="1"/>
        <sz val="9.0"/>
      </rPr>
      <t xml:space="preserve">    Visuals/Verite </t>
    </r>
    <r>
      <rPr>
        <rFont val="Arimo"/>
        <i/>
        <color theme="1"/>
        <sz val="9.0"/>
      </rPr>
      <t>(Producer/Sound will do sound)</t>
    </r>
  </si>
  <si>
    <t>Art Director</t>
  </si>
  <si>
    <t>Hair/Makeup/Wardrobe Stylist w/kit</t>
  </si>
  <si>
    <t>Set Production Assistants</t>
  </si>
  <si>
    <t xml:space="preserve">    Set Production Assistant #1 (Office Assistant from 4060 will be Set PA1)</t>
  </si>
  <si>
    <t xml:space="preserve">    Set Production Assistant #2 (On-Set)</t>
  </si>
  <si>
    <t>Security Guards</t>
  </si>
  <si>
    <r>
      <rPr>
        <rFont val="Arimo"/>
        <color theme="1"/>
        <sz val="9.0"/>
      </rPr>
      <t xml:space="preserve">Accessibility for Production Crew </t>
    </r>
    <r>
      <rPr>
        <rFont val="Arimo"/>
        <i/>
        <color theme="1"/>
        <sz val="9.0"/>
      </rPr>
      <t>(see 2080 for details)</t>
    </r>
  </si>
  <si>
    <t>EDITORIAL STAFF</t>
  </si>
  <si>
    <r>
      <rPr>
        <rFont val="Arimo"/>
        <color theme="1"/>
        <sz val="9.0"/>
      </rPr>
      <t xml:space="preserve">Editor </t>
    </r>
    <r>
      <rPr>
        <rFont val="Geneva"/>
        <i/>
        <color theme="1"/>
        <sz val="9.0"/>
      </rPr>
      <t>(independent contractor)</t>
    </r>
  </si>
  <si>
    <t xml:space="preserve">   Prep/consult during shoot</t>
  </si>
  <si>
    <r>
      <rPr>
        <rFont val="Arimo"/>
        <color theme="1"/>
        <sz val="9.0"/>
      </rPr>
      <t xml:space="preserve">   Edit period </t>
    </r>
    <r>
      <rPr>
        <rFont val="Arimo"/>
        <i/>
        <color theme="1"/>
        <sz val="9.0"/>
      </rPr>
      <t>(per ADE guideline 1 month per 10 min screen time)</t>
    </r>
  </si>
  <si>
    <t xml:space="preserve">   Post sound, online, color correction</t>
  </si>
  <si>
    <t xml:space="preserve">   Re-cut one-hour TV version</t>
  </si>
  <si>
    <t>Consulting Editors</t>
  </si>
  <si>
    <t>Assistant Editor</t>
  </si>
  <si>
    <t xml:space="preserve">   Setup edit room &amp; system</t>
  </si>
  <si>
    <t xml:space="preserve">   Log/capture/ingest all footage during shoot</t>
  </si>
  <si>
    <t xml:space="preserve">   Edit period</t>
  </si>
  <si>
    <t xml:space="preserve">   Wrap edit/prep post</t>
  </si>
  <si>
    <r>
      <rPr>
        <rFont val="Arimo"/>
        <color theme="1"/>
        <sz val="9.0"/>
      </rPr>
      <t xml:space="preserve">   Post sound, online, color correction </t>
    </r>
    <r>
      <rPr>
        <rFont val="Arimo"/>
        <i/>
        <color theme="1"/>
        <sz val="9.0"/>
      </rPr>
      <t>(half-time)</t>
    </r>
  </si>
  <si>
    <r>
      <rPr>
        <rFont val="Arimo"/>
        <color theme="1"/>
        <sz val="9.0"/>
      </rPr>
      <t xml:space="preserve">Accessibility for Editorial Staff </t>
    </r>
    <r>
      <rPr>
        <rFont val="Arimo"/>
        <i/>
        <color theme="1"/>
        <sz val="9.0"/>
      </rPr>
      <t>(see 2080 for details)</t>
    </r>
  </si>
  <si>
    <t>CONSULTANTS</t>
  </si>
  <si>
    <t>Honoraria for subject-area experts/consultants</t>
  </si>
  <si>
    <t>day</t>
  </si>
  <si>
    <t>Honoraria for advisory board members (approx. 3 dys total per person @ $500/dy)</t>
  </si>
  <si>
    <t>Trauma-informed mental health and wellness support for film team</t>
  </si>
  <si>
    <t>Trauma-informed mental health and wellness support for participants (incl. on-set)</t>
  </si>
  <si>
    <r>
      <rPr>
        <rFont val="Arimo"/>
        <color theme="1"/>
        <sz val="9.0"/>
      </rPr>
      <t xml:space="preserve">Participant care/compensation
</t>
    </r>
    <r>
      <rPr>
        <rFont val="Arimo"/>
        <i/>
        <color theme="1"/>
        <sz val="9.0"/>
      </rPr>
      <t>(Check funder/distributor policies and current industry standards before budgeting these items. Could include per diem, location fees, materials fees, reimbursement for missed wages, childcare, mental health support, and/or direct compensation)</t>
    </r>
  </si>
  <si>
    <r>
      <rPr>
        <rFont val="Arimo"/>
        <color theme="1"/>
        <sz val="9.0"/>
      </rPr>
      <t xml:space="preserve">Accessibility for Consultants </t>
    </r>
    <r>
      <rPr>
        <rFont val="Arimo"/>
        <i/>
        <color theme="1"/>
        <sz val="9.0"/>
      </rPr>
      <t>(see 2080 for details)</t>
    </r>
  </si>
  <si>
    <t>PRODUCTION EXPENSES</t>
  </si>
  <si>
    <t>CAMERA</t>
  </si>
  <si>
    <t>Camera Package Rentals</t>
  </si>
  <si>
    <t>MAIN PACKAGE (all days)</t>
  </si>
  <si>
    <r>
      <rPr>
        <rFont val="Arimo"/>
        <i/>
        <color theme="1"/>
        <sz val="9.0"/>
      </rPr>
      <t xml:space="preserve">
SONY FX9 CAMERA PACKAGE: Sony FX9 XDCAM Full Frame Camera, camera cage, base plate, 240GB XQD cards, XQD card reader, BP-U 98Wh batteries, BP-U dual-bay battery charger, Pelican case, support backpack, cables, accesories
</t>
    </r>
    <r>
      <rPr>
        <rFont val="Arimo"/>
        <i/>
        <color rgb="FF0000FF"/>
        <sz val="9.0"/>
      </rPr>
      <t xml:space="preserve">Note: due to the number of shooting days, camera package rental at the appropriate rate of $350/day ($350/day*(12dys+53dys) = $22,750) would exceed the purchase price of $18,686. Because it is being rented directly from the production company, the price is capped at 75% of the purchase price, which controls funder costs (policies and percentage caps vary) and helps the production company earn rental income. If the total rental was less than the funder's percentage cap, or if this were being rented from a commercial rental house, then this would be budgeted as a normal daily rental. </t>
    </r>
  </si>
  <si>
    <r>
      <rPr>
        <rFont val="Arimo"/>
        <i/>
        <color theme="1"/>
        <sz val="9.0"/>
      </rPr>
      <t xml:space="preserve">TAMRON LENS PACKAGE: 20-40mm f/2.8, 35-150mm f/2-2.8,  150-500mm f/5-6.7
</t>
    </r>
    <r>
      <rPr>
        <rFont val="Arimo"/>
        <i/>
        <color rgb="FF0000FF"/>
        <sz val="9.0"/>
      </rPr>
      <t>Per the detailed explanation above, rental at $90/day ($90/day*(12dys+53dys)= $5,850) would exceed the purchase price of $3,700. Instead, because this can be rented from the production company, the rental is capped at 75% of the purchase price or $2,775.</t>
    </r>
  </si>
  <si>
    <r>
      <rPr>
        <rFont val="Arimo"/>
        <i/>
        <color theme="1"/>
        <sz val="9.0"/>
      </rPr>
      <t xml:space="preserve">CAMERA SUPPORT PACKAGE: Heavy Duty Tripod, Shoulder Rig
</t>
    </r>
    <r>
      <rPr>
        <rFont val="Arimo"/>
        <i/>
        <color rgb="FF0000FF"/>
        <sz val="9.0"/>
      </rPr>
      <t>Per the detailed explanation above, rental at $50/day ($50/day*(12dys+53dys)= $3,250) would exceed the purchase price of $2,500. Instead, because this can be rented from the production company, the rental is capped at 75% of the purchase price or $1,875.</t>
    </r>
  </si>
  <si>
    <t>ADDITIONAL RENTALS (interview days)</t>
  </si>
  <si>
    <t>Angenieux EZ-1 30 to 90mm Cinema Lens (Super35 T2.0 and Full-Frame T3.0)</t>
  </si>
  <si>
    <t>External monitors, clip-on matte box, filters, follow focus, rods, plates, etc.</t>
  </si>
  <si>
    <t xml:space="preserve">    </t>
  </si>
  <si>
    <t>ADDITIONAL SPECIALTY RENTALS</t>
  </si>
  <si>
    <t>Specialty cameras</t>
  </si>
  <si>
    <t>Dollys and sliders</t>
  </si>
  <si>
    <t>Steadicam package</t>
  </si>
  <si>
    <t>Car mount</t>
  </si>
  <si>
    <t>Camera purchases</t>
  </si>
  <si>
    <t>Camera expendables</t>
  </si>
  <si>
    <t>DIT/Data Station rentals</t>
  </si>
  <si>
    <t>DIT/Data Station purchases</t>
  </si>
  <si>
    <r>
      <rPr>
        <rFont val="Arimo"/>
        <color theme="1"/>
        <sz val="9.0"/>
      </rPr>
      <t xml:space="preserve">    M3 Max MBPro 16" Laptop </t>
    </r>
    <r>
      <rPr>
        <rFont val="Arimo"/>
        <i/>
        <color theme="1"/>
        <sz val="9.0"/>
      </rPr>
      <t>(buy/sell at end of production)</t>
    </r>
  </si>
  <si>
    <r>
      <rPr>
        <rFont val="Arimo"/>
        <color theme="1"/>
      </rPr>
      <t xml:space="preserve">    UPS Uninterruptible Power Supply</t>
    </r>
    <r>
      <rPr>
        <rFont val="Arimo"/>
        <i/>
        <color theme="1"/>
      </rPr>
      <t xml:space="preserve"> (buy/sell at end of production)</t>
    </r>
  </si>
  <si>
    <r>
      <rPr>
        <rFont val="Arimo"/>
        <color theme="1"/>
      </rPr>
      <t xml:space="preserve">    Pelican cases </t>
    </r>
    <r>
      <rPr>
        <rFont val="Arimo"/>
        <i/>
        <color theme="1"/>
      </rPr>
      <t>(buy/sell at end of production)</t>
    </r>
  </si>
  <si>
    <t>cases</t>
  </si>
  <si>
    <t xml:space="preserve">    Software (Silverstack, Offshoot etc.)</t>
  </si>
  <si>
    <t>year</t>
  </si>
  <si>
    <t xml:space="preserve">    (field drives listed below in 5700)</t>
  </si>
  <si>
    <t>Drone/aerial photography</t>
  </si>
  <si>
    <t>Accessibility incl. additional monitors or cameras, wheelchair mounts, etc.</t>
  </si>
  <si>
    <t>SOUND</t>
  </si>
  <si>
    <t>Sound kit/equipment rentals</t>
  </si>
  <si>
    <t xml:space="preserve">   Sound recordist kit rental for interview days</t>
  </si>
  <si>
    <r>
      <rPr>
        <rFont val="Arimo"/>
        <color theme="1"/>
        <sz val="9.0"/>
      </rPr>
      <t xml:space="preserve">   Sound in-house kit </t>
    </r>
    <r>
      <rPr>
        <rFont val="Arimo"/>
        <i/>
        <color theme="1"/>
        <sz val="9.0"/>
      </rPr>
      <t>(Prod does sound on verite/visuals days)</t>
    </r>
  </si>
  <si>
    <t>Sound kit/equipment purchases</t>
  </si>
  <si>
    <t>Sound expendables incl. batteries</t>
  </si>
  <si>
    <t>Comtek monitoring system</t>
  </si>
  <si>
    <t>Walkie-talkies</t>
  </si>
  <si>
    <t>Accessibility incl. additional monitor feeds, bespoke receivers, etc.</t>
  </si>
  <si>
    <t>LIGHTING &amp; GRIP</t>
  </si>
  <si>
    <t>Lighting &amp; grip package rental</t>
  </si>
  <si>
    <t xml:space="preserve">   Lighting &amp; grip package rental for stylized interviews   </t>
  </si>
  <si>
    <t xml:space="preserve">   Lighting &amp; grip in-house kit for verite/visuals</t>
  </si>
  <si>
    <t>Lighting &amp; grip purchases</t>
  </si>
  <si>
    <t>Lighting &amp; grip expendables</t>
  </si>
  <si>
    <t>Generator Rental</t>
  </si>
  <si>
    <t>STUDIO FACILITIES</t>
  </si>
  <si>
    <t>Studio rentals</t>
  </si>
  <si>
    <t>Studio utilities</t>
  </si>
  <si>
    <r>
      <rPr>
        <rFont val="Arimo"/>
        <color theme="1"/>
        <sz val="9.0"/>
      </rPr>
      <t xml:space="preserve">Accessibility for studio facilities
</t>
    </r>
    <r>
      <rPr>
        <rFont val="Arimo"/>
        <i/>
        <color theme="1"/>
        <sz val="9.0"/>
      </rPr>
      <t>(Accessibility requirements will vary and could include additional lighting, floor markings, ramps, rest space, quiet space, interpreter rest space, service animal rest space, bell/light or traffic light system for "All quiet on set", mobility equipment, accessible toilets, etc.)</t>
    </r>
  </si>
  <si>
    <t>SET DRESSING</t>
  </si>
  <si>
    <t>Set dressing rentals</t>
  </si>
  <si>
    <t>Set dressing purchases</t>
  </si>
  <si>
    <t>Set dressing expendables</t>
  </si>
  <si>
    <t>WARDROBE</t>
  </si>
  <si>
    <t>Wardrobe rentals</t>
  </si>
  <si>
    <t>Wardrobe purchases</t>
  </si>
  <si>
    <t>Wardrobe expendables</t>
  </si>
  <si>
    <t>MAKEUP &amp; HAIR</t>
  </si>
  <si>
    <r>
      <rPr>
        <rFont val="Arimo"/>
        <color theme="1"/>
        <sz val="9.0"/>
      </rPr>
      <t xml:space="preserve">Makeup rentals </t>
    </r>
    <r>
      <rPr>
        <rFont val="Arimo"/>
        <i/>
        <color theme="1"/>
        <sz val="9.0"/>
      </rPr>
      <t>(kit rental from M/U artist)</t>
    </r>
  </si>
  <si>
    <t>Makeup purchases</t>
  </si>
  <si>
    <t>Makeup expendables</t>
  </si>
  <si>
    <t>PRODUCTION FILM &amp; LAB</t>
  </si>
  <si>
    <t>Data storage calculation:
Visuals/vérité: 53 dys*120min/approx. 256 GB per day = 106 hours camera footage (13.5TB)
Interviews: 10 dys*240min/approx. 512GB = 40 hours camera footage (5TB)
Total: 18.5 TB total plus 25% buffer -&gt; Spec minimum 24TB of camera original storage</t>
  </si>
  <si>
    <t>Field Drives - SanDisk Pro SSD (2 sets)</t>
  </si>
  <si>
    <t>4 TB drives</t>
  </si>
  <si>
    <r>
      <rPr>
        <rFont val="Arimo"/>
        <color theme="1"/>
        <sz val="9.0"/>
      </rPr>
      <t xml:space="preserve">RAID 4 Master Drive - camera original storage </t>
    </r>
    <r>
      <rPr>
        <rFont val="Arial"/>
        <i/>
        <color theme="1"/>
        <sz val="9.0"/>
      </rPr>
      <t>(G-Raid Shuttle 24TB)</t>
    </r>
  </si>
  <si>
    <t>drives</t>
  </si>
  <si>
    <t>LTO Backup of all master media</t>
  </si>
  <si>
    <t xml:space="preserve">  </t>
  </si>
  <si>
    <t xml:space="preserve">   LTO-8 backup</t>
  </si>
  <si>
    <t xml:space="preserve">TB </t>
  </si>
  <si>
    <t xml:space="preserve">   LTO Tape Cartridges (1 per month)</t>
  </si>
  <si>
    <t>tapes</t>
  </si>
  <si>
    <t>LOCATION EXPENSES</t>
  </si>
  <si>
    <t>Crew Meals</t>
  </si>
  <si>
    <t xml:space="preserve">    Interview Days (Dir, Prod, DP, AC, DW, Gf, Snd, PM, PA)</t>
  </si>
  <si>
    <t>meals</t>
  </si>
  <si>
    <t xml:space="preserve">    Verite/Visuals Days (Dir, Prod, PA)</t>
  </si>
  <si>
    <t xml:space="preserve">    Allowance for 2nd Meal on Long Days</t>
  </si>
  <si>
    <t>Snacks/Craft Service</t>
  </si>
  <si>
    <t>First Aid Supplies</t>
  </si>
  <si>
    <t>Location Fees, Permits, Parking, Gratuities</t>
  </si>
  <si>
    <r>
      <rPr>
        <rFont val="Arimo"/>
        <color theme="1"/>
        <sz val="9.0"/>
      </rPr>
      <t xml:space="preserve">Accessibility for locations
</t>
    </r>
    <r>
      <rPr>
        <rFont val="Arimo"/>
        <i/>
        <color theme="1"/>
        <sz val="9.0"/>
      </rPr>
      <t>(Accessibility requirements will vary and could include additional lighting, floor markings, ramps, rest space, quiet space, interpreter rest space, service animal rest space, bell/light system or traffic light system for "All quiet on set", mobility equipment, accessible toilets, accessible dining location and table height, etc.)</t>
    </r>
  </si>
  <si>
    <t>Loss, Damage &amp; Repair</t>
  </si>
  <si>
    <t>LOCATION TRANSPORTATION</t>
  </si>
  <si>
    <t xml:space="preserve">Vehicle rentals </t>
  </si>
  <si>
    <t xml:space="preserve">    Cargo van - w/high roof+shelving (needed for interview weeks only)</t>
  </si>
  <si>
    <t xml:space="preserve">    Wheelchair van - w/additional portable wheelchair ramp</t>
  </si>
  <si>
    <t xml:space="preserve">    People mover - minivan (7-9 passengers) or van (15 passengers)</t>
  </si>
  <si>
    <t xml:space="preserve">    Car rentals</t>
  </si>
  <si>
    <t>Vehicle purchases</t>
  </si>
  <si>
    <t>Gas &amp; Oil</t>
  </si>
  <si>
    <t>Road Permits, Tolls, Parking</t>
  </si>
  <si>
    <t>Local transportation/Taxis/Car Service/Public Transport</t>
  </si>
  <si>
    <r>
      <rPr>
        <rFont val="Arimo"/>
        <color theme="1"/>
        <sz val="9.0"/>
      </rPr>
      <t xml:space="preserve">Mileage expense for self-drive vehicles </t>
    </r>
    <r>
      <rPr>
        <rFont val="Arial"/>
        <i/>
        <color theme="1"/>
        <sz val="9.0"/>
      </rPr>
      <t>(based on 2024 IRS mileage rate)</t>
    </r>
  </si>
  <si>
    <t>miles</t>
  </si>
  <si>
    <r>
      <rPr>
        <rFont val="Arimo"/>
        <color theme="1"/>
        <sz val="9.0"/>
      </rPr>
      <t xml:space="preserve">Accessibility for Transportion
</t>
    </r>
    <r>
      <rPr>
        <rFont val="Arimo"/>
        <i/>
        <color theme="1"/>
        <sz val="9.0"/>
      </rPr>
      <t>(Accessibility requirements will vary and could include vehicle accessories, adaptations or modification.)</t>
    </r>
  </si>
  <si>
    <t>TRAVEL</t>
  </si>
  <si>
    <t>PRODUCTION TRAVEL</t>
  </si>
  <si>
    <t>SHOOT TRIP #1: Dir, Prod, DP travel to NYC-&gt;Houston for 2 nights</t>
  </si>
  <si>
    <t>Add'l baggage fees for equipment</t>
  </si>
  <si>
    <r>
      <rPr>
        <rFont val="Arimo"/>
        <color theme="1"/>
        <sz val="9.0"/>
      </rPr>
      <t>Accessibility for Travel</t>
    </r>
    <r>
      <rPr>
        <rFont val="Arimo"/>
        <i/>
        <color theme="1"/>
        <sz val="9.0"/>
      </rPr>
      <t xml:space="preserve"> (see 1280 for details)</t>
    </r>
  </si>
  <si>
    <t>Misc Travel</t>
  </si>
  <si>
    <t>SHOOT TRIP #2: Dir, Prod, DP travel to NYC-&gt;LA for 2 nights</t>
  </si>
  <si>
    <r>
      <rPr>
        <rFont val="Arimo"/>
        <color theme="1"/>
        <sz val="9.0"/>
      </rPr>
      <t>Accessibility for Travel</t>
    </r>
    <r>
      <rPr>
        <rFont val="Arimo"/>
        <i/>
        <color theme="1"/>
        <sz val="9.0"/>
      </rPr>
      <t xml:space="preserve"> (see 1280 for details)</t>
    </r>
  </si>
  <si>
    <t>POST-PRODUCTION</t>
  </si>
  <si>
    <t>EDITORIAL EQUIPMENT, FACILITY &amp; SUPPLIES</t>
  </si>
  <si>
    <t>Editing Equipment Rentals</t>
  </si>
  <si>
    <r>
      <rPr>
        <rFont val="Arimo"/>
        <i/>
        <color theme="1"/>
        <sz val="9.0"/>
        <u/>
      </rPr>
      <t>EDITOR AVID SYSTEM</t>
    </r>
    <r>
      <rPr>
        <rFont val="Arimo"/>
        <i/>
        <color rgb="FF0000FF"/>
        <sz val="9.0"/>
      </rPr>
      <t xml:space="preserve">
</t>
    </r>
    <r>
      <rPr>
        <rFont val="Arimo"/>
        <i/>
        <color theme="1"/>
        <sz val="9.0"/>
      </rPr>
      <t xml:space="preserve">Mac Studio M2 Ultra 24‑core/60‑GPU/32‑Neural/128GB RAM/1TB SSD, Dual Apple  27" 5K Retina Studio Displays, Video Playback Monitor, Blackmagic Design Ultrastudio 4K mini, Audio Interface/Controller, JBL 305P Near-Field Monitor Speakers, Headphones, UPS Uninterruptible Power Supply, Cables &amp; Accessories
</t>
    </r>
    <r>
      <rPr>
        <rFont val="Arimo"/>
        <i/>
        <color rgb="FF0000FF"/>
        <sz val="9.0"/>
      </rPr>
      <t>Note: due to the number of edit weeks, edit system rental at the appropriate rate of $400/week ($400/week*42 weeks=$16,800) would exceed the purchase price of $10,697. Because it is being rented directly from the production company, the price is capped at 75% of the purchase price, which controls funder costs (policies and percentages vary) and helps the production company earn rental income. If the total rental was less than the funder's percentage cap, or if this were being rented from a commercial rental house, then this would be budgeted as a normal weekly rental.</t>
    </r>
  </si>
  <si>
    <r>
      <rPr>
        <rFont val="Arimo"/>
        <i/>
        <color theme="1"/>
        <sz val="9.0"/>
        <u/>
      </rPr>
      <t>ASSISTANT EDITOR AVID SYSTEM</t>
    </r>
    <r>
      <rPr>
        <rFont val="Arimo"/>
        <i/>
        <color rgb="FF0000FF"/>
        <sz val="9.0"/>
      </rPr>
      <t xml:space="preserve">
</t>
    </r>
    <r>
      <rPr>
        <rFont val="Arimo"/>
        <i/>
        <color theme="1"/>
        <sz val="9.0"/>
      </rPr>
      <t xml:space="preserve">Mac Studio M2 Ultra 24‑core/60‑GPU/32‑Neural/128GB RAM/1TB SSD, Dual Apple 27" 5K Retina Studio Displays, Audio Interface/Controller, JBL 305P Near-Field Monitor Speakers, Headphones, UPS Uninterruptible Power Supply, Cables &amp; Accessories
</t>
    </r>
    <r>
      <rPr>
        <rFont val="Arimo"/>
        <i/>
        <color rgb="FF0000FF"/>
        <sz val="9.0"/>
      </rPr>
      <t>Per the detailed explanation above, rental at $300/week ($300/wk*72 wks = $22,200) would exceed the purchase price of $8,697. Instead, because this can be rented from the production company, the rental is capped at 75% of the purchase price or $6,523.</t>
    </r>
  </si>
  <si>
    <t>Editing Equipment Purchases</t>
  </si>
  <si>
    <t xml:space="preserve">    Editor System - Avid Media Composer Ultimate Software License</t>
  </si>
  <si>
    <t xml:space="preserve">    AE System - Avid Media Composer Ultimate Software License</t>
  </si>
  <si>
    <t>years</t>
  </si>
  <si>
    <t xml:space="preserve">    Other purchases</t>
  </si>
  <si>
    <t>Edit Storage</t>
  </si>
  <si>
    <r>
      <rPr>
        <rFont val="Arimo"/>
        <color theme="1"/>
        <sz val="9.0"/>
      </rPr>
      <t xml:space="preserve">    Primary storage </t>
    </r>
    <r>
      <rPr>
        <rFont val="Arimo"/>
        <i/>
        <color theme="1"/>
        <sz val="9.0"/>
      </rPr>
      <t>(G-RAID Shuttle 4 80TB formatted as RAID 5 for 60TB capacity)</t>
    </r>
  </si>
  <si>
    <r>
      <rPr>
        <rFont val="Arimo"/>
        <color theme="1"/>
        <sz val="9.0"/>
      </rPr>
      <t xml:space="preserve">    Backup storage </t>
    </r>
    <r>
      <rPr>
        <rFont val="Arimo"/>
        <i/>
        <color theme="1"/>
        <sz val="9.0"/>
      </rPr>
      <t>(G-RAID Shuttle 4 80TB formatted as RAID 5 for 60TB capacity)</t>
    </r>
  </si>
  <si>
    <t>LTO/offsite backup/archiving</t>
  </si>
  <si>
    <t>TB</t>
  </si>
  <si>
    <r>
      <rPr>
        <rFont val="Arimo"/>
        <sz val="9.0"/>
      </rPr>
      <t xml:space="preserve">Cloud Services (e.g. Vimeo Pro, </t>
    </r>
    <r>
      <rPr>
        <rFont val="Arimo"/>
        <color rgb="FF1155CC"/>
        <sz val="9.0"/>
        <u/>
      </rPr>
      <t>Frame.io</t>
    </r>
    <r>
      <rPr>
        <rFont val="Arimo"/>
        <sz val="9.0"/>
      </rPr>
      <t>, PostLab, etc.)</t>
    </r>
  </si>
  <si>
    <t>Technical support</t>
  </si>
  <si>
    <r>
      <rPr>
        <rFont val="Arimo"/>
        <color theme="1"/>
        <sz val="9.0"/>
      </rPr>
      <t xml:space="preserve">Edit room rental </t>
    </r>
    <r>
      <rPr>
        <rFont val="Arimo"/>
        <i/>
        <color theme="1"/>
        <sz val="9.0"/>
      </rPr>
      <t>(see 9070 Production Office rental) 
(Fully accessible edit room incl. parking, offices, bathrooms, etc. See 7080.)</t>
    </r>
  </si>
  <si>
    <r>
      <rPr>
        <rFont val="Arimo"/>
        <color theme="1"/>
        <sz val="9.0"/>
      </rPr>
      <t xml:space="preserve">High Speed Internet </t>
    </r>
    <r>
      <rPr>
        <rFont val="Arimo"/>
        <i/>
        <color theme="1"/>
        <sz val="9.0"/>
      </rPr>
      <t>(see 9080 Production Office rental)</t>
    </r>
  </si>
  <si>
    <r>
      <rPr>
        <rFont val="Arimo"/>
        <color theme="1"/>
        <sz val="9.0"/>
      </rPr>
      <t xml:space="preserve">Edit parking </t>
    </r>
    <r>
      <rPr>
        <rFont val="Arimo"/>
        <i/>
        <color theme="1"/>
        <sz val="9.0"/>
      </rPr>
      <t xml:space="preserve">(see 9080 Production Office rental) </t>
    </r>
  </si>
  <si>
    <t>Transcription, Translation &amp; Temp Subtitles/Captions for Cuts &amp; Working Materials</t>
  </si>
  <si>
    <t xml:space="preserve">    90-min training for in-house team re: logging, transcripts, image description, temp subtitles, captions, audio description, QC</t>
  </si>
  <si>
    <r>
      <rPr>
        <rFont val="Arimo"/>
        <color theme="1"/>
        <sz val="9.0"/>
      </rPr>
      <t xml:space="preserve">    Interview Transcriptions </t>
    </r>
    <r>
      <rPr>
        <rFont val="Arimo"/>
        <i/>
        <color theme="1"/>
        <sz val="9.0"/>
      </rPr>
      <t>(edit software transcribe+PA1 in-house revise)</t>
    </r>
  </si>
  <si>
    <r>
      <rPr>
        <rFont val="Arimo"/>
        <color theme="1"/>
        <sz val="9.0"/>
      </rPr>
      <t xml:space="preserve">    Logging verite footage </t>
    </r>
    <r>
      <rPr>
        <rFont val="Arimo"/>
        <i/>
        <color theme="1"/>
        <sz val="9.0"/>
      </rPr>
      <t>(PA1 in-house)</t>
    </r>
  </si>
  <si>
    <r>
      <rPr>
        <rFont val="Arimo"/>
        <color theme="1"/>
        <sz val="9.0"/>
      </rPr>
      <t xml:space="preserve">    Temp subtitles for rough cuts </t>
    </r>
    <r>
      <rPr>
        <rFont val="Arimo"/>
        <i/>
        <color theme="1"/>
        <sz val="9.0"/>
      </rPr>
      <t>(temp burn-in from edit system)</t>
    </r>
  </si>
  <si>
    <r>
      <rPr>
        <rFont val="Arimo"/>
        <color theme="1"/>
        <sz val="9.0"/>
      </rPr>
      <t xml:space="preserve">    Temp Closed Captioning (CC) </t>
    </r>
    <r>
      <rPr>
        <rFont val="Arimo"/>
        <i/>
        <color theme="1"/>
        <sz val="9.0"/>
      </rPr>
      <t>(temp burn-in from edit system)</t>
    </r>
  </si>
  <si>
    <r>
      <rPr>
        <rFont val="Arimo"/>
        <color theme="1"/>
        <sz val="9.0"/>
      </rPr>
      <t xml:space="preserve">    Audio Description Services</t>
    </r>
    <r>
      <rPr>
        <rFont val="Arimo"/>
        <i/>
        <color theme="1"/>
        <sz val="9.0"/>
      </rPr>
      <t xml:space="preserve"> (temp track from edit team)</t>
    </r>
  </si>
  <si>
    <r>
      <rPr>
        <rFont val="Arimo"/>
        <color theme="1"/>
        <sz val="9.0"/>
      </rPr>
      <t xml:space="preserve">    Transcript (including all audible and visual elements) Cuts 1-4, </t>
    </r>
    <r>
      <rPr>
        <rFont val="Arimo"/>
        <i/>
        <color theme="1"/>
        <sz val="9.0"/>
      </rPr>
      <t>(PA1 in-house)</t>
    </r>
  </si>
  <si>
    <t>Edit office supplies</t>
  </si>
  <si>
    <t>Edit meals &amp; craft service (Working Meals/Deadlines)</t>
  </si>
  <si>
    <t>Local Transport (Taxis/Car Service/Car Rental/Mileage/Public Transport)</t>
  </si>
  <si>
    <r>
      <rPr>
        <rFont val="Arimo"/>
        <color theme="1"/>
        <sz val="9.0"/>
      </rPr>
      <t xml:space="preserve">Accessibility for editing
</t>
    </r>
    <r>
      <rPr>
        <rFont val="Arimo"/>
        <i/>
        <color theme="1"/>
        <sz val="9.0"/>
      </rPr>
      <t>(Accessibility requirements will vary and could include a fully wheelchair-accessible edit location, modified desks and/or chairs, screenreaders, accessible toilets, additional lighting, floor markings, rest space, quiet space, interpreter rest space, service animal rest space, etc.)</t>
    </r>
  </si>
  <si>
    <t>FORMAT CONVERSIONS</t>
  </si>
  <si>
    <t>Archival Material Ingest</t>
  </si>
  <si>
    <t>Upconversions to 4K / Create file-based media from archival</t>
  </si>
  <si>
    <t>Misc. format conversions</t>
  </si>
  <si>
    <t>GRAPHICS, TITLES &amp; EFFECTS</t>
  </si>
  <si>
    <t>Main title design</t>
  </si>
  <si>
    <t>End Credits</t>
  </si>
  <si>
    <r>
      <rPr>
        <rFont val="Arimo"/>
        <color theme="1"/>
        <sz val="9.0"/>
      </rPr>
      <t xml:space="preserve">Lower thirds &amp; Locators </t>
    </r>
    <r>
      <rPr>
        <rFont val="Arimo"/>
        <i/>
        <color theme="1"/>
        <sz val="9.0"/>
      </rPr>
      <t>(AE will do in-house)</t>
    </r>
  </si>
  <si>
    <t>Motion Graphics</t>
  </si>
  <si>
    <t>Motion Control/Photo Animation</t>
  </si>
  <si>
    <t>VISUAL EFFECTS (VFX)</t>
  </si>
  <si>
    <t>Archival footage restoration</t>
  </si>
  <si>
    <t>VFX-Boom removal, blurs, anonymization etc.</t>
  </si>
  <si>
    <t>ONLINE EDIT &amp; COLOR CORRECTION</t>
  </si>
  <si>
    <t>Digital 4K Online/Conform</t>
  </si>
  <si>
    <t>Color Grading</t>
  </si>
  <si>
    <t>Trim pass (e.g. HDR to SDR)</t>
  </si>
  <si>
    <t>POST SOUND</t>
  </si>
  <si>
    <t>Sound design, edit, mix, layback (combined pkg 6-8 weeks edit, 10 day final mix)</t>
  </si>
  <si>
    <t>Voiceover/ADR/Loop Group Recording</t>
  </si>
  <si>
    <t>Versioning/Additional Deliverables</t>
  </si>
  <si>
    <t>Dolby License</t>
  </si>
  <si>
    <t>OUTPUT &amp; DELIVERABLES</t>
  </si>
  <si>
    <t>Servicing elements QT burn-in for subs, sound, checks</t>
  </si>
  <si>
    <t>ProRes 422 HQ 4K texted color corrected master</t>
  </si>
  <si>
    <t>ProRes 422 HQ 4K textless color corrected master</t>
  </si>
  <si>
    <t>IMF 4K Texted Streaming Master - incl. creation/QC/delivery</t>
  </si>
  <si>
    <t>IMF 4K Textless Streaming Master - incl. creation/QC/delivery</t>
  </si>
  <si>
    <t>IMF 4K Supplemental ("Fixes") Streaming Master - incl. creation/QC/delivery</t>
  </si>
  <si>
    <t>DCP Theatrical Master - Color Correction P3</t>
  </si>
  <si>
    <r>
      <rPr>
        <rFont val="Arimo"/>
        <color theme="1"/>
        <sz val="9.0"/>
      </rPr>
      <t xml:space="preserve">DCP Theatrical Master </t>
    </r>
    <r>
      <rPr>
        <rFont val="Arimo"/>
        <color theme="1"/>
        <sz val="9.0"/>
      </rPr>
      <t>(w/Open Captions for Accessibility)</t>
    </r>
  </si>
  <si>
    <t>DCP</t>
  </si>
  <si>
    <t>DCP Copies (Festival, theatrical)</t>
  </si>
  <si>
    <t>International deliverables @ 25FPS and 29.97FPS</t>
  </si>
  <si>
    <t>BluRay &amp; DVD authoring &amp; copies</t>
  </si>
  <si>
    <t>Backup &amp; Archiving of Post Projects</t>
  </si>
  <si>
    <t>Miscellaneous Deliverables</t>
  </si>
  <si>
    <t>ARCHIVAL FOOTAGE &amp; STILLS</t>
  </si>
  <si>
    <t>Research &amp; Preview fees</t>
  </si>
  <si>
    <r>
      <rPr>
        <rFont val="Arimo"/>
        <color theme="1"/>
        <sz val="9.0"/>
      </rPr>
      <t xml:space="preserve">Footage licenses
</t>
    </r>
    <r>
      <rPr>
        <rFont val="Arial"/>
        <i/>
        <color theme="1"/>
        <sz val="9.0"/>
      </rPr>
      <t>(Rights: All Media, Worldwide, in Perpetuity incl. Theatrical and Promotional Use)</t>
    </r>
  </si>
  <si>
    <t>seconds</t>
  </si>
  <si>
    <r>
      <rPr>
        <rFont val="Arimo"/>
        <color theme="1"/>
        <sz val="9.0"/>
      </rPr>
      <t xml:space="preserve">Stills licenses
</t>
    </r>
    <r>
      <rPr>
        <rFont val="Arial"/>
        <i/>
        <color theme="1"/>
        <sz val="9.0"/>
      </rPr>
      <t>(Rights: All Media, Worldwide, in Perpetuity incl. Theatrical and Promotional Use)</t>
    </r>
  </si>
  <si>
    <t>stills</t>
  </si>
  <si>
    <t>Footage transfer costs</t>
  </si>
  <si>
    <t>Stills scanning/transfer costs</t>
  </si>
  <si>
    <t>Shipping</t>
  </si>
  <si>
    <t>MUSIC/COMPOSER</t>
  </si>
  <si>
    <r>
      <rPr>
        <rFont val="Arimo"/>
        <color theme="1"/>
        <sz val="9.0"/>
      </rPr>
      <t xml:space="preserve">Composer </t>
    </r>
    <r>
      <rPr>
        <rFont val="Geneva"/>
        <i/>
        <color theme="1"/>
        <sz val="9.0"/>
      </rPr>
      <t>(all-in package includes musicians, score, and recording session)</t>
    </r>
  </si>
  <si>
    <t>Music Supervision (for licensing songs)</t>
  </si>
  <si>
    <t>songs</t>
  </si>
  <si>
    <t>Music rights for licensed songs - Sync rights</t>
  </si>
  <si>
    <t>Music rights for licensed songs - Master rights</t>
  </si>
  <si>
    <t>Temp music purchases</t>
  </si>
  <si>
    <t>SUBTITLES, CLOSED CAPTIONS, ACCESSIBILITY, ADD'L REQUIRED ITEMS</t>
  </si>
  <si>
    <t>Translation &amp; Subtitling (often for English master for multilingual projects)</t>
  </si>
  <si>
    <t>QC of Subtitles</t>
  </si>
  <si>
    <t>Closed Captioning (CC) (can also be used as open captions)</t>
  </si>
  <si>
    <t>Audio Description Services (spoken audible descriptions of all visual-only elements of the film)</t>
  </si>
  <si>
    <t>On-screen ASL interpreter</t>
  </si>
  <si>
    <r>
      <rPr>
        <rFont val="Arimo"/>
        <color theme="1"/>
        <sz val="9.0"/>
      </rPr>
      <t xml:space="preserve">Final Transcript (including all audible and visual elements) (Locked Picture) </t>
    </r>
    <r>
      <rPr>
        <rFont val="Arimo"/>
        <i/>
        <color theme="1"/>
        <sz val="9.0"/>
      </rPr>
      <t>(PA1 in-house)</t>
    </r>
  </si>
  <si>
    <t>Combined Continuity and Spotting List (CCSL)</t>
  </si>
  <si>
    <t>Miscellaneous additional required items</t>
  </si>
  <si>
    <t>INSURANCE</t>
  </si>
  <si>
    <r>
      <rPr>
        <rFont val="Arimo"/>
        <color theme="1"/>
        <sz val="9.0"/>
      </rPr>
      <t xml:space="preserve">Producer's Package
</t>
    </r>
    <r>
      <rPr>
        <rFont val="Arimo"/>
        <i/>
        <color theme="1"/>
        <sz val="9.0"/>
      </rPr>
      <t>(incl. Negative/Videotape &amp; Faulty Stock/Camera/Processing; Extra Expense; Third Party Property Damage, Miscellaneous Equipment)</t>
    </r>
  </si>
  <si>
    <t>General Liability</t>
  </si>
  <si>
    <t>Hired and Non-owned Auto Liability</t>
  </si>
  <si>
    <t xml:space="preserve">Umbrella/Excess Liability </t>
  </si>
  <si>
    <r>
      <rPr>
        <rFont val="Arimo"/>
        <color theme="1"/>
        <sz val="9.0"/>
      </rPr>
      <t xml:space="preserve">Worker's Compensation </t>
    </r>
    <r>
      <rPr>
        <rFont val="Arimo"/>
        <i/>
        <color theme="1"/>
        <sz val="9.0"/>
      </rPr>
      <t>(partly covered thru payroll service)</t>
    </r>
  </si>
  <si>
    <t>Additional or Owned Equipment Coverage</t>
  </si>
  <si>
    <t>Special Coverages (e.g. Cast coverage, Kidnap, Ransom and Extortion coverage etc.)</t>
  </si>
  <si>
    <t>Errors &amp; Omissions Insurance</t>
  </si>
  <si>
    <t>Miscellaneous Additional Insurance Premiums</t>
  </si>
  <si>
    <t xml:space="preserve">COVID-19 </t>
  </si>
  <si>
    <t>COVID Coordinator</t>
  </si>
  <si>
    <t>PPE (N95 Masks etc.)</t>
  </si>
  <si>
    <t>Cleansing Supplies (Hand Santizer, Disinfecting Wipes, etc.)</t>
  </si>
  <si>
    <t>Rapid self-tests</t>
  </si>
  <si>
    <t>PCR Lab Tests</t>
  </si>
  <si>
    <t>OFFICE &amp; ADMINISTRATION</t>
  </si>
  <si>
    <t>OFFICE/ADMIN</t>
  </si>
  <si>
    <t>Office Equipment (incl. computers, printers, scanners, networking, etc.)</t>
  </si>
  <si>
    <t>Office Furnishings</t>
  </si>
  <si>
    <t>Office Software &amp; Cloud Services  (GSuite, MS Teams, etc.) 7ppl</t>
  </si>
  <si>
    <t>Office Supplies</t>
  </si>
  <si>
    <t>Photocopy &amp; Fax</t>
  </si>
  <si>
    <t>Postage/Messenger/Courier</t>
  </si>
  <si>
    <t>Office Meals &amp; Craft Service (Working Meals/Deadlines)</t>
  </si>
  <si>
    <r>
      <rPr>
        <rFont val="Arimo"/>
        <color theme="1"/>
        <sz val="9.0"/>
      </rPr>
      <t xml:space="preserve">Production Office - Rent
</t>
    </r>
    <r>
      <rPr>
        <rFont val="Arimo"/>
        <i/>
        <color theme="1"/>
        <sz val="9.0"/>
      </rPr>
      <t>(Fully accessible office incl. parking, offices, bathrooms, etc. See 9080.)</t>
    </r>
  </si>
  <si>
    <t>Production Office - Parking Spaces (x3)</t>
  </si>
  <si>
    <t>Production Office - Electric/Water/Gas/Alarm</t>
  </si>
  <si>
    <t>Production Office - Telephone/High Speed Internet</t>
  </si>
  <si>
    <t>Production Office - Cleaning Service</t>
  </si>
  <si>
    <r>
      <rPr>
        <rFont val="Arimo"/>
        <color theme="1"/>
        <sz val="9.0"/>
      </rPr>
      <t xml:space="preserve">Accessibility for production office
</t>
    </r>
    <r>
      <rPr>
        <rFont val="Arimo"/>
        <i/>
        <color theme="1"/>
        <sz val="9.0"/>
      </rPr>
      <t>(Accessibility requirements will vary and could include a fully wheelchair-accessible production office, modified desks and/or chairs, screenreaders, accessible toilets, additional lighting, floor markings, rest space, quiet space, interpreter rest space, service animal rest space, etc.)</t>
    </r>
  </si>
  <si>
    <t>PROFESSIONAL SERVICES</t>
  </si>
  <si>
    <t>Production Legal &amp; Clearance Counsel</t>
  </si>
  <si>
    <t>Fact-Checking</t>
  </si>
  <si>
    <t>Title Report</t>
  </si>
  <si>
    <t>Accounting &amp; Bookkeeping Services</t>
  </si>
  <si>
    <t>LLC/Corp Entity Formation</t>
  </si>
  <si>
    <t>LLC/Corp Tax Prep</t>
  </si>
  <si>
    <t>LLC/Corp Taxes</t>
  </si>
  <si>
    <t>Copyright Registration</t>
  </si>
  <si>
    <t>MPAA Rating</t>
  </si>
  <si>
    <t>International Currency Exchange Gain/Loss</t>
  </si>
  <si>
    <t>Bank Fees</t>
  </si>
  <si>
    <t>BTL</t>
  </si>
  <si>
    <t>SUBTOTAL BELOW-THE-LINE (BTL)</t>
  </si>
  <si>
    <r>
      <rPr>
        <rFont val="Arimo"/>
        <b/>
        <color theme="1"/>
        <sz val="9.0"/>
      </rPr>
      <t xml:space="preserve">PUBLICITY, PROMOTION, WEBSITE, FESTIVALS, IMPACT, DISTRIBUTION
</t>
    </r>
    <r>
      <rPr>
        <rFont val="Arimo"/>
        <b val="0"/>
        <i/>
        <color rgb="FFFF0000"/>
        <sz val="9.0"/>
      </rPr>
      <t>(Excluded from production budget by some funders)</t>
    </r>
  </si>
  <si>
    <t>PROMOTIONAL MATERIALS</t>
  </si>
  <si>
    <t>Poster/Key Art Design</t>
  </si>
  <si>
    <t xml:space="preserve">Poster reproduction (offset printing) </t>
  </si>
  <si>
    <t>pieces</t>
  </si>
  <si>
    <t>Postcards (4.25" x 6", 4-color both sides)</t>
  </si>
  <si>
    <t>PDF Electronic Press Kits</t>
  </si>
  <si>
    <t>Trailer &amp; Promo Clips - Editing</t>
  </si>
  <si>
    <t>Trailer &amp; Promo Clips - Finishing, Mix &amp; Delivery</t>
  </si>
  <si>
    <t>Website Design &amp; 1yr domain/hosting/maintenance</t>
  </si>
  <si>
    <t>Trailer &amp; Promo Clips - Subtitling, Closed Captions, Accessibility</t>
  </si>
  <si>
    <r>
      <rPr>
        <rFont val="Arimo"/>
        <color theme="1"/>
        <sz val="9.0"/>
      </rPr>
      <t xml:space="preserve">    Translation &amp; Subtitling </t>
    </r>
    <r>
      <rPr>
        <rFont val="Arimo"/>
        <i/>
        <color theme="1"/>
        <sz val="9.0"/>
      </rPr>
      <t>(often for English master for multilingual projects)</t>
    </r>
  </si>
  <si>
    <t xml:space="preserve">    Closed Captioning (CC) or Open Captioning (OC)</t>
  </si>
  <si>
    <t xml:space="preserve">    Audio Description Services (spoken audible descriptions of all visual-only elements of the film)</t>
  </si>
  <si>
    <t xml:space="preserve">    On-screen ASL interpreter</t>
  </si>
  <si>
    <t xml:space="preserve">    Transcript (including all audible and visual elements)</t>
  </si>
  <si>
    <t>Misc Promotional Materials</t>
  </si>
  <si>
    <t>PROMOTION &amp; PUBLICITY SERVICES</t>
  </si>
  <si>
    <t>Publicist</t>
  </si>
  <si>
    <t>Social Media Promotion/Community Management</t>
  </si>
  <si>
    <t>Misc Promotion &amp; Publicity Services</t>
  </si>
  <si>
    <t>FILM FESTIVALS</t>
  </si>
  <si>
    <t>Application Fees</t>
  </si>
  <si>
    <t>festivals</t>
  </si>
  <si>
    <t>DCP Shipping</t>
  </si>
  <si>
    <t>IMPACT, OUTREACH AND EDUCATION</t>
  </si>
  <si>
    <t>This section mentions a few line items that could help with assessing impact, outreach and education. An extensive impact campaign requires its own separate budget. For excellent impact resources, including sample budgets, visit Doc Society's ImpactGuide.org</t>
  </si>
  <si>
    <t>Impact Agency Consultant Fee to assess impact potential/strategy</t>
  </si>
  <si>
    <t>Braintrust &amp; Consultant Fees to assess impact potential/strategy</t>
  </si>
  <si>
    <t>Impact Proposal &amp; Budget</t>
  </si>
  <si>
    <t>Accessibility for Impact, Outreach and Education</t>
  </si>
  <si>
    <t>HYBRID DISTRIBUTION</t>
  </si>
  <si>
    <t>Distribution Consultation to evaluate hybrid distribution</t>
  </si>
  <si>
    <t>Hybrid Distribution Proposal &amp; Budget</t>
  </si>
  <si>
    <t>FESTIVALS, IMPACT, DISTRIBUTION TRAVEL</t>
  </si>
  <si>
    <t>hotel nights</t>
  </si>
  <si>
    <r>
      <rPr>
        <rFont val="Arimo"/>
        <color theme="1"/>
        <sz val="9.0"/>
      </rPr>
      <t>Accessibility for Travel</t>
    </r>
    <r>
      <rPr>
        <rFont val="Arimo"/>
        <i/>
        <color theme="1"/>
        <sz val="9.0"/>
      </rPr>
      <t xml:space="preserve"> (see 1280 for details)</t>
    </r>
  </si>
  <si>
    <t>Misc Festival Travel</t>
  </si>
  <si>
    <r>
      <rPr>
        <rFont val="Arimo"/>
        <b/>
        <color theme="1"/>
        <sz val="9.0"/>
      </rPr>
      <t xml:space="preserve">AWARDS CAMPAIGN
</t>
    </r>
    <r>
      <rPr>
        <rFont val="Geneva"/>
        <b val="0"/>
        <i/>
        <color theme="1"/>
        <sz val="9.0"/>
      </rPr>
      <t>(Excluded from production budget by some funders)</t>
    </r>
  </si>
  <si>
    <t>Screenings</t>
  </si>
  <si>
    <t>Venue Rentals</t>
  </si>
  <si>
    <t>Catering</t>
  </si>
  <si>
    <t>Advertising</t>
  </si>
  <si>
    <t>Social Media</t>
  </si>
  <si>
    <t>E-blasts</t>
  </si>
  <si>
    <t>Campaign Costs</t>
  </si>
  <si>
    <t>Misc Awards Campaign costs</t>
  </si>
  <si>
    <t>AWARDS TRAVEL</t>
  </si>
  <si>
    <r>
      <rPr>
        <rFont val="Arimo"/>
        <color theme="1"/>
        <sz val="9.0"/>
      </rPr>
      <t>Accessibility for Travel</t>
    </r>
    <r>
      <rPr>
        <rFont val="Arimo"/>
        <i/>
        <color theme="1"/>
        <sz val="9.0"/>
      </rPr>
      <t xml:space="preserve"> (see 1280 for details)</t>
    </r>
  </si>
  <si>
    <t>Misc Awards Travel</t>
  </si>
  <si>
    <t>SUBTOTAL PUBLICITY, PROMOTION, WEBSITE, FESTIVALS, IMPACT, DISTRIBUTION</t>
  </si>
  <si>
    <t>COMBINED SUBTOTAL</t>
  </si>
  <si>
    <r>
      <rPr>
        <rFont val="Arimo"/>
        <color theme="1"/>
        <sz val="12.0"/>
      </rPr>
      <t xml:space="preserve">FISCAL SPONSOR FEES </t>
    </r>
    <r>
      <rPr>
        <rFont val="Arial"/>
        <i/>
        <color theme="1"/>
        <sz val="12.0"/>
      </rPr>
      <t>(applied to USA grant funds only)</t>
    </r>
  </si>
  <si>
    <r>
      <rPr>
        <rFont val="Arimo"/>
        <color theme="1"/>
        <sz val="12.0"/>
      </rPr>
      <t xml:space="preserve">PRODUCTION SERVICES FEE </t>
    </r>
    <r>
      <rPr>
        <rFont val="Arimo"/>
        <i/>
        <color theme="1"/>
        <sz val="12.0"/>
      </rPr>
      <t>(approx 10%, generally for commissioned projects)</t>
    </r>
  </si>
  <si>
    <t>GRAND TOTAL</t>
  </si>
  <si>
    <t>PRODUCTION CREW</t>
  </si>
  <si>
    <t>PRODUCTION TOTAL</t>
  </si>
  <si>
    <t>POST-PRODUCTION TOTAL</t>
  </si>
  <si>
    <t>ADMIN/OTHER TOTAL</t>
  </si>
  <si>
    <t>PUBLICITY, PROMOTION, WEB, FESTIVALS, IMPACT, DISTRIBUTION</t>
  </si>
  <si>
    <t>SUBTOTAL PUBLICITY, PROMO, WEB, FESTS, IMPACT, DISTRIB</t>
  </si>
  <si>
    <t>SUBTOTAL</t>
  </si>
  <si>
    <r>
      <rPr>
        <rFont val="Arimo"/>
        <color theme="1"/>
        <sz val="10.0"/>
      </rPr>
      <t xml:space="preserve">FISCAL SPONSOR FEE </t>
    </r>
    <r>
      <rPr>
        <rFont val="Arimo"/>
        <i/>
        <color theme="1"/>
        <sz val="10.0"/>
      </rPr>
      <t>(applied to USA grants only)</t>
    </r>
  </si>
  <si>
    <r>
      <rPr>
        <rFont val="Arimo"/>
        <color theme="1"/>
        <sz val="10.0"/>
      </rPr>
      <t xml:space="preserve">PRODUCTION SERVICES FEE </t>
    </r>
    <r>
      <rPr>
        <rFont val="Arimo"/>
        <i/>
        <color theme="1"/>
        <sz val="10.0"/>
      </rPr>
      <t>(approx 10%, if applicable)</t>
    </r>
  </si>
  <si>
    <r>
      <rPr>
        <rFont val="Arimo"/>
        <b/>
        <color theme="1"/>
        <sz val="9.0"/>
      </rPr>
      <t xml:space="preserve">FINANCE PLAN DATE:  </t>
    </r>
    <r>
      <rPr>
        <rFont val="Arimo"/>
        <b val="0"/>
        <color theme="1"/>
        <sz val="9.0"/>
      </rPr>
      <t>3/1/2024</t>
    </r>
  </si>
  <si>
    <r>
      <rPr>
        <rFont val="Arimo"/>
        <b/>
        <color theme="1"/>
        <sz val="9.0"/>
      </rPr>
      <t xml:space="preserve">PRODUCTION COMPANY:  </t>
    </r>
    <r>
      <rPr>
        <rFont val="Arimo"/>
        <b val="0"/>
        <color theme="1"/>
        <sz val="9.0"/>
      </rPr>
      <t>Great Docu Films Inc.</t>
    </r>
  </si>
  <si>
    <r>
      <rPr>
        <rFont val="Arimo"/>
        <b/>
        <color theme="1"/>
        <sz val="9.0"/>
      </rPr>
      <t>DIRECTOR :</t>
    </r>
    <r>
      <rPr>
        <rFont val="Arimo"/>
        <b val="0"/>
        <color theme="1"/>
        <sz val="9.0"/>
      </rPr>
      <t xml:space="preserve"> Excellent Director</t>
    </r>
  </si>
  <si>
    <r>
      <rPr>
        <rFont val="Arimo"/>
        <b/>
        <color theme="1"/>
        <sz val="9.0"/>
      </rPr>
      <t xml:space="preserve">PRODUCER:  </t>
    </r>
    <r>
      <rPr>
        <rFont val="Arimo"/>
        <b val="0"/>
        <color theme="1"/>
        <sz val="9.0"/>
      </rPr>
      <t>Excellent Producer</t>
    </r>
  </si>
  <si>
    <t>FINANCE PLAN</t>
  </si>
  <si>
    <t>FUNDS SECURED</t>
  </si>
  <si>
    <t xml:space="preserve">% </t>
  </si>
  <si>
    <t>RIGHTS GRANTED</t>
  </si>
  <si>
    <t>REVENUE
PARTICIPATION</t>
  </si>
  <si>
    <t>&lt;&lt; You definitely need the "Revenue Participation" in your internal finance plan, but might or might not decide to share this information externally.</t>
  </si>
  <si>
    <t>Grant 1</t>
  </si>
  <si>
    <t>none</t>
  </si>
  <si>
    <t>Grant 2</t>
  </si>
  <si>
    <t>Grant 3</t>
  </si>
  <si>
    <t>Country 1 Broadcaster</t>
  </si>
  <si>
    <t>USA Public TV</t>
  </si>
  <si>
    <t>net profit</t>
  </si>
  <si>
    <t>Country 2 Broadcaster</t>
  </si>
  <si>
    <t>UK Public TV</t>
  </si>
  <si>
    <t>Private Investor 1</t>
  </si>
  <si>
    <t>recoup+10% premium+net profit</t>
  </si>
  <si>
    <t>Private Investor 2</t>
  </si>
  <si>
    <t>recoup+net profit</t>
  </si>
  <si>
    <t>Crowdfunding</t>
  </si>
  <si>
    <t>Producer Cash (Advance)</t>
  </si>
  <si>
    <t>recoup</t>
  </si>
  <si>
    <t>TOTAL FUNDS SECURED</t>
  </si>
  <si>
    <t>FUNDS PENDING / STILL TO BE RAISED</t>
  </si>
  <si>
    <t>STATUS</t>
  </si>
  <si>
    <t>EXPECTED NOTIFICATION DATE</t>
  </si>
  <si>
    <t>Applied 31May2024</t>
  </si>
  <si>
    <t>Applied 15June2024</t>
  </si>
  <si>
    <t>Will apply</t>
  </si>
  <si>
    <t>Country 3 Broadcaster</t>
  </si>
  <si>
    <t>In Discussions</t>
  </si>
  <si>
    <t>Fall 2024</t>
  </si>
  <si>
    <t>Country 4 Broadcaster</t>
  </si>
  <si>
    <t>TBD/Additional funding to be sought</t>
  </si>
  <si>
    <t>TOTAL FUNDS PENDING</t>
  </si>
  <si>
    <t>FUNDS SECURED+PENDING</t>
  </si>
  <si>
    <t>TOTAL BUDGET</t>
  </si>
</sst>
</file>

<file path=xl/styles.xml><?xml version="1.0" encoding="utf-8"?>
<styleSheet xmlns="http://schemas.openxmlformats.org/spreadsheetml/2006/main" xmlns:x14ac="http://schemas.microsoft.com/office/spreadsheetml/2009/9/ac" xmlns:mc="http://schemas.openxmlformats.org/markup-compatibility/2006">
  <numFmts count="14">
    <numFmt numFmtId="164" formatCode="d&quot; &quot;mmm&quot; &quot;yyyy"/>
    <numFmt numFmtId="165" formatCode="mmm&quot; &quot;yyyy"/>
    <numFmt numFmtId="166" formatCode="mmm\ yyyy"/>
    <numFmt numFmtId="167" formatCode="mmmm\ yyyy"/>
    <numFmt numFmtId="168" formatCode="0.0%"/>
    <numFmt numFmtId="169" formatCode="_-* #,##0_F_B_-;\-* #,##0_F_B_-;_-* &quot;-&quot;??_F_B_-;_-@"/>
    <numFmt numFmtId="170" formatCode="[$USD]\ #,##0.00"/>
    <numFmt numFmtId="171" formatCode="[$£-809]#,##0.00"/>
    <numFmt numFmtId="172" formatCode="0.0"/>
    <numFmt numFmtId="173" formatCode="#,##0.00&quot; F&quot;;[Red]\-#,##0.00&quot; F&quot;"/>
    <numFmt numFmtId="174" formatCode="#,##0.0"/>
    <numFmt numFmtId="175" formatCode="&quot;$&quot;#,##0_);[Red]\(&quot;$&quot;#,##0\)"/>
    <numFmt numFmtId="176" formatCode="[$$]#,##0"/>
    <numFmt numFmtId="177" formatCode="dmmmyyyy"/>
  </numFmts>
  <fonts count="71">
    <font>
      <sz val="9.0"/>
      <color rgb="FF000000"/>
      <name val="Arimo"/>
      <scheme val="minor"/>
    </font>
    <font>
      <b/>
      <color rgb="FFFF0000"/>
      <name val="Arimo"/>
      <scheme val="minor"/>
    </font>
    <font>
      <sz val="9.0"/>
      <color rgb="FFFF0000"/>
      <name val="Arimo"/>
    </font>
    <font>
      <u/>
      <sz val="16.0"/>
      <color rgb="FF0000FF"/>
    </font>
    <font>
      <sz val="16.0"/>
      <color theme="1"/>
      <name val="Arimo"/>
      <scheme val="minor"/>
    </font>
    <font>
      <color theme="1"/>
      <name val="Arimo"/>
      <scheme val="minor"/>
    </font>
    <font>
      <b/>
      <sz val="12.0"/>
      <color theme="1"/>
      <name val="Arimo"/>
    </font>
    <font>
      <b/>
      <sz val="10.0"/>
      <color theme="1"/>
      <name val="Arial"/>
    </font>
    <font>
      <b/>
      <sz val="10.0"/>
      <color rgb="FF000000"/>
      <name val="Arial"/>
    </font>
    <font/>
    <font>
      <sz val="10.0"/>
      <color rgb="FFCCCCCC"/>
      <name val="Arial"/>
    </font>
    <font>
      <sz val="10.0"/>
      <color rgb="FF000000"/>
      <name val="Arial"/>
    </font>
    <font>
      <sz val="10.0"/>
      <color theme="1"/>
      <name val="Arial"/>
    </font>
    <font>
      <sz val="10.0"/>
      <color rgb="FFFF0000"/>
      <name val="Arial"/>
    </font>
    <font>
      <sz val="8.0"/>
      <color rgb="FF000000"/>
      <name val="Arial"/>
    </font>
    <font>
      <i/>
      <sz val="10.0"/>
      <color rgb="FF000000"/>
      <name val="Arial"/>
    </font>
    <font>
      <sz val="7.0"/>
      <color rgb="FFFF9900"/>
      <name val="Roboto"/>
    </font>
    <font>
      <sz val="7.0"/>
      <color rgb="FFFF9900"/>
      <name val="Arial"/>
    </font>
    <font>
      <sz val="8.0"/>
      <color rgb="FFFF9900"/>
      <name val="Arial"/>
    </font>
    <font>
      <i/>
      <sz val="10.0"/>
      <color theme="1"/>
      <name val="Arial"/>
    </font>
    <font>
      <sz val="8.0"/>
      <color theme="1"/>
      <name val="Arial"/>
    </font>
    <font>
      <i/>
      <sz val="8.0"/>
      <color theme="1"/>
      <name val="Arial"/>
    </font>
    <font>
      <b/>
      <sz val="8.0"/>
      <color rgb="FF000000"/>
      <name val="Arial"/>
    </font>
    <font>
      <sz val="10.0"/>
      <color rgb="FF4F5255"/>
      <name val="Inherit"/>
    </font>
    <font>
      <sz val="9.0"/>
      <color theme="1"/>
      <name val="Arimo"/>
      <scheme val="minor"/>
    </font>
    <font>
      <sz val="10.0"/>
      <color rgb="FFD9D9D9"/>
      <name val="Arial"/>
    </font>
    <font>
      <b/>
      <color theme="1"/>
      <name val="Arimo"/>
      <scheme val="minor"/>
    </font>
    <font>
      <b/>
      <sz val="9.0"/>
      <color theme="1"/>
      <name val="Arimo"/>
    </font>
    <font>
      <b/>
      <sz val="13.0"/>
      <color theme="1"/>
      <name val="Arimo"/>
    </font>
    <font>
      <sz val="12.0"/>
      <color rgb="FF000000"/>
      <name val="Arimo"/>
      <scheme val="minor"/>
    </font>
    <font>
      <i/>
      <color rgb="FF000000"/>
      <name val="Arimo"/>
      <scheme val="minor"/>
    </font>
    <font>
      <sz val="9.0"/>
      <color theme="1"/>
      <name val="Arimo"/>
    </font>
    <font>
      <i/>
      <color theme="1"/>
      <name val="Arimo"/>
      <scheme val="minor"/>
    </font>
    <font>
      <i/>
      <sz val="9.0"/>
      <color theme="1"/>
      <name val="Arimo"/>
    </font>
    <font>
      <b/>
      <sz val="9.0"/>
      <color rgb="FFFF9900"/>
      <name val="Arimo"/>
    </font>
    <font>
      <color rgb="FF000000"/>
      <name val="Arimo"/>
      <scheme val="minor"/>
    </font>
    <font>
      <b/>
      <sz val="12.0"/>
      <color rgb="FF000000"/>
      <name val="Arimo"/>
    </font>
    <font>
      <sz val="12.0"/>
      <color rgb="FF000000"/>
      <name val="Arimo"/>
    </font>
    <font>
      <b/>
      <sz val="9.0"/>
      <color rgb="FF000000"/>
      <name val="Arimo"/>
    </font>
    <font>
      <i/>
      <sz val="9.0"/>
      <color rgb="FFFF0000"/>
      <name val="Arimo"/>
    </font>
    <font>
      <i/>
      <color rgb="FFFF0000"/>
      <name val="Arimo"/>
      <scheme val="minor"/>
    </font>
    <font>
      <color rgb="FFFF9900"/>
      <name val="Arimo"/>
      <scheme val="minor"/>
    </font>
    <font>
      <sz val="10.0"/>
      <color theme="1"/>
      <name val="Arimo"/>
    </font>
    <font>
      <sz val="9.0"/>
      <color rgb="FFFF9900"/>
      <name val="Arimo"/>
    </font>
    <font>
      <b/>
      <sz val="10.0"/>
      <color theme="1"/>
      <name val="Arimo"/>
    </font>
    <font>
      <b/>
      <u/>
      <sz val="10.0"/>
      <color theme="1"/>
      <name val="Arimo"/>
    </font>
    <font>
      <sz val="11.0"/>
      <color rgb="FF000000"/>
      <name val="Helvetica"/>
    </font>
    <font>
      <sz val="9.0"/>
      <color rgb="FF000000"/>
      <name val="Arimo"/>
    </font>
    <font>
      <sz val="12.0"/>
      <color theme="1"/>
      <name val="Arimo"/>
    </font>
    <font>
      <sz val="11.0"/>
      <color rgb="FFFF00FF"/>
      <name val="Helvetica"/>
    </font>
    <font>
      <sz val="11.0"/>
      <color rgb="FFFF9900"/>
      <name val="Helvetica"/>
    </font>
    <font>
      <b/>
      <color rgb="FFFF9900"/>
      <name val="Arimo"/>
      <scheme val="minor"/>
    </font>
    <font>
      <sz val="12.0"/>
      <color rgb="FF000000"/>
      <name val="&quot;Karla&quot;"/>
    </font>
    <font>
      <i/>
      <u/>
      <sz val="9.0"/>
      <color theme="1"/>
      <name val="Arimo"/>
    </font>
    <font>
      <i/>
      <u/>
      <sz val="9.0"/>
      <color theme="1"/>
      <name val="Arimo"/>
    </font>
    <font>
      <b/>
      <i/>
      <sz val="10.0"/>
      <color theme="1"/>
      <name val="Arimo"/>
    </font>
    <font>
      <i/>
      <color rgb="FFFF9900"/>
      <name val="Arimo"/>
      <scheme val="minor"/>
    </font>
    <font>
      <u/>
      <sz val="9.0"/>
      <color theme="1"/>
      <name val="Arimo"/>
    </font>
    <font>
      <u/>
      <sz val="9.0"/>
      <color rgb="FF0000FF"/>
      <name val="Arimo"/>
    </font>
    <font>
      <sz val="8.0"/>
      <color theme="1"/>
      <name val="Arimo"/>
    </font>
    <font>
      <sz val="12.0"/>
      <color rgb="FFFF0000"/>
      <name val="&quot;Times New Roman&quot;"/>
    </font>
    <font>
      <sz val="13.0"/>
      <color rgb="FF000000"/>
      <name val="Helvetica Neue"/>
    </font>
    <font>
      <strike/>
      <color rgb="FFFF9900"/>
      <name val="Arimo"/>
      <scheme val="minor"/>
    </font>
    <font>
      <strike/>
      <sz val="9.0"/>
      <color theme="1"/>
      <name val="Arimo"/>
    </font>
    <font>
      <strike/>
      <color theme="1"/>
      <name val="Arimo"/>
      <scheme val="minor"/>
    </font>
    <font>
      <b/>
      <sz val="9.0"/>
      <color theme="1"/>
      <name val="Arimo"/>
      <scheme val="minor"/>
    </font>
    <font>
      <b/>
      <sz val="10.0"/>
      <color theme="1"/>
      <name val="Arimo"/>
      <scheme val="minor"/>
    </font>
    <font>
      <sz val="10.0"/>
      <color theme="1"/>
      <name val="Arimo"/>
      <scheme val="minor"/>
    </font>
    <font>
      <b/>
      <sz val="15.0"/>
      <color theme="1"/>
      <name val="Arimo"/>
    </font>
    <font>
      <sz val="12.0"/>
      <color theme="1"/>
      <name val="Arimo"/>
      <scheme val="minor"/>
    </font>
    <font>
      <color rgb="FFFF0000"/>
      <name val="Arimo"/>
      <scheme val="minor"/>
    </font>
  </fonts>
  <fills count="16">
    <fill>
      <patternFill patternType="none"/>
    </fill>
    <fill>
      <patternFill patternType="lightGray"/>
    </fill>
    <fill>
      <patternFill patternType="solid">
        <fgColor rgb="FFFFFFFF"/>
        <bgColor rgb="FFFFFFFF"/>
      </patternFill>
    </fill>
    <fill>
      <patternFill patternType="solid">
        <fgColor rgb="FFEFEFEF"/>
        <bgColor rgb="FFEFEFEF"/>
      </patternFill>
    </fill>
    <fill>
      <patternFill patternType="solid">
        <fgColor rgb="FFD9D9D9"/>
        <bgColor rgb="FFD9D9D9"/>
      </patternFill>
    </fill>
    <fill>
      <patternFill patternType="solid">
        <fgColor rgb="FFD0E0E3"/>
        <bgColor rgb="FFD0E0E3"/>
      </patternFill>
    </fill>
    <fill>
      <patternFill patternType="solid">
        <fgColor rgb="FFF9CB9C"/>
        <bgColor rgb="FFF9CB9C"/>
      </patternFill>
    </fill>
    <fill>
      <patternFill patternType="solid">
        <fgColor rgb="FFB6D7A8"/>
        <bgColor rgb="FFB6D7A8"/>
      </patternFill>
    </fill>
    <fill>
      <patternFill patternType="solid">
        <fgColor rgb="FFD9D2E9"/>
        <bgColor rgb="FFD9D2E9"/>
      </patternFill>
    </fill>
    <fill>
      <patternFill patternType="solid">
        <fgColor rgb="FFFFE599"/>
        <bgColor rgb="FFFFE599"/>
      </patternFill>
    </fill>
    <fill>
      <patternFill patternType="solid">
        <fgColor rgb="FFCFE2F3"/>
        <bgColor rgb="FFCFE2F3"/>
      </patternFill>
    </fill>
    <fill>
      <patternFill patternType="solid">
        <fgColor rgb="FFF6B3AE"/>
        <bgColor rgb="FFF6B3AE"/>
      </patternFill>
    </fill>
    <fill>
      <patternFill patternType="solid">
        <fgColor rgb="FFFAD9D6"/>
        <bgColor rgb="FFFAD9D6"/>
      </patternFill>
    </fill>
    <fill>
      <patternFill patternType="solid">
        <fgColor rgb="FFC0C0C0"/>
        <bgColor rgb="FFC0C0C0"/>
      </patternFill>
    </fill>
    <fill>
      <patternFill patternType="solid">
        <fgColor rgb="FFBFBFBF"/>
        <bgColor rgb="FFBFBFBF"/>
      </patternFill>
    </fill>
    <fill>
      <patternFill patternType="solid">
        <fgColor rgb="FFCCCCCC"/>
        <bgColor rgb="FFCCCCCC"/>
      </patternFill>
    </fill>
  </fills>
  <borders count="136">
    <border/>
    <border>
      <left/>
      <top/>
    </border>
    <border>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top style="thin">
        <color rgb="FF000000"/>
      </top>
      <bottom/>
    </border>
    <border>
      <top style="thin">
        <color rgb="FF000000"/>
      </top>
      <bottom style="thin">
        <color rgb="FF000000"/>
      </bottom>
    </border>
    <border>
      <left style="thin">
        <color rgb="FF000000"/>
      </left>
      <right/>
      <top style="thin">
        <color rgb="FF000000"/>
      </top>
      <bottom style="thin">
        <color rgb="FF000000"/>
      </bottom>
    </border>
    <border>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top/>
      <bottom/>
    </border>
    <border>
      <right style="thin">
        <color rgb="FF000000"/>
      </right>
      <bottom style="thin">
        <color rgb="FF000000"/>
      </bottom>
    </border>
    <border>
      <left style="thin">
        <color rgb="FF000000"/>
      </left>
      <right/>
      <top/>
      <bottom style="thin">
        <color rgb="FF000000"/>
      </bottom>
    </border>
    <border>
      <left/>
      <right style="thin">
        <color rgb="FF000000"/>
      </right>
      <top style="thin">
        <color rgb="FF000000"/>
      </top>
      <bottom style="thin">
        <color rgb="FF000000"/>
      </bottom>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000000"/>
      </top>
    </border>
    <border>
      <left style="thin">
        <color rgb="FF000000"/>
      </left>
      <top style="thin">
        <color rgb="FF000000"/>
      </top>
    </border>
    <border>
      <left style="thin">
        <color rgb="FF000000"/>
      </left>
      <right style="thin">
        <color rgb="FF000000"/>
      </right>
      <top/>
    </border>
    <border>
      <left/>
      <right/>
      <top/>
    </border>
    <border>
      <top style="thin">
        <color rgb="FF000000"/>
      </top>
      <bottom style="hair">
        <color rgb="FF000000"/>
      </bottom>
    </border>
    <border>
      <left style="thin">
        <color rgb="FF000000"/>
      </left>
      <top style="thin">
        <color rgb="FF000000"/>
      </top>
      <bottom style="hair">
        <color rgb="FF000000"/>
      </bottom>
    </border>
    <border>
      <left/>
      <right/>
      <top style="thin">
        <color rgb="FF000000"/>
      </top>
      <bottom style="hair">
        <color rgb="FF000000"/>
      </bottom>
    </border>
    <border>
      <left style="thin">
        <color rgb="FF000000"/>
      </left>
      <right style="thin">
        <color rgb="FF000000"/>
      </right>
      <top style="thin">
        <color rgb="FF000000"/>
      </top>
      <bottom style="hair">
        <color rgb="FF000000"/>
      </bottom>
    </border>
    <border>
      <right/>
      <top style="thin">
        <color rgb="FF000000"/>
      </top>
      <bottom style="hair">
        <color rgb="FF000000"/>
      </bottom>
    </border>
    <border>
      <left style="thin">
        <color rgb="FF000000"/>
      </left>
      <right/>
      <top style="thin">
        <color rgb="FF000000"/>
      </top>
      <bottom style="hair">
        <color rgb="FF000000"/>
      </bottom>
    </border>
    <border>
      <left style="thin">
        <color rgb="FF000000"/>
      </left>
      <right style="thin">
        <color rgb="FF000000"/>
      </right>
    </border>
    <border>
      <top style="hair">
        <color rgb="FF000000"/>
      </top>
      <bottom style="hair">
        <color rgb="FF000000"/>
      </bottom>
    </border>
    <border>
      <left style="thin">
        <color rgb="FF000000"/>
      </left>
      <top style="hair">
        <color rgb="FF000000"/>
      </top>
      <bottom style="hair">
        <color rgb="FF000000"/>
      </bottom>
    </border>
    <border>
      <left/>
      <right/>
      <top style="hair">
        <color rgb="FF000000"/>
      </top>
      <bottom style="hair">
        <color rgb="FF000000"/>
      </bottom>
    </border>
    <border>
      <left style="thin">
        <color rgb="FF000000"/>
      </left>
      <right style="thin">
        <color rgb="FF000000"/>
      </right>
      <top style="hair">
        <color rgb="FF000000"/>
      </top>
      <bottom style="hair">
        <color rgb="FF000000"/>
      </bottom>
    </border>
    <border>
      <right/>
      <top style="hair">
        <color rgb="FF000000"/>
      </top>
      <bottom style="hair">
        <color rgb="FF000000"/>
      </bottom>
    </border>
    <border>
      <top style="hair">
        <color rgb="FF000000"/>
      </top>
      <bottom style="thin">
        <color rgb="FF000000"/>
      </bottom>
    </border>
    <border>
      <left style="thin">
        <color rgb="FF000000"/>
      </left>
      <top style="hair">
        <color rgb="FF000000"/>
      </top>
      <bottom style="thin">
        <color rgb="FF000000"/>
      </bottom>
    </border>
    <border>
      <left/>
      <right/>
      <top style="hair">
        <color rgb="FF000000"/>
      </top>
      <bottom style="thin">
        <color rgb="FF000000"/>
      </bottom>
    </border>
    <border>
      <left style="thin">
        <color rgb="FF000000"/>
      </left>
      <right style="thin">
        <color rgb="FF000000"/>
      </right>
      <top style="hair">
        <color rgb="FF000000"/>
      </top>
      <bottom style="thin">
        <color rgb="FF000000"/>
      </bottom>
    </border>
    <border>
      <left/>
      <right/>
      <bottom style="hair">
        <color rgb="FF000000"/>
      </bottom>
    </border>
    <border>
      <right style="thin">
        <color rgb="FF000000"/>
      </right>
      <top style="hair">
        <color rgb="FF000000"/>
      </top>
      <bottom style="hair">
        <color rgb="FF000000"/>
      </bottom>
    </border>
    <border>
      <bottom style="hair">
        <color rgb="FF000000"/>
      </bottom>
    </border>
    <border>
      <left/>
      <top style="hair">
        <color rgb="FF000000"/>
      </top>
      <bottom style="hair">
        <color rgb="FF000000"/>
      </bottom>
    </border>
    <border>
      <left style="thin">
        <color rgb="FF000000"/>
      </left>
      <right/>
      <top style="hair">
        <color rgb="FF000000"/>
      </top>
      <bottom style="hair">
        <color rgb="FF000000"/>
      </bottom>
    </border>
    <border>
      <right/>
      <top style="hair">
        <color rgb="FF000000"/>
      </top>
      <bottom style="thin">
        <color rgb="FF000000"/>
      </bottom>
    </border>
    <border>
      <left style="thin">
        <color rgb="FF000000"/>
      </left>
      <right/>
      <top style="hair">
        <color rgb="FF000000"/>
      </top>
      <bottom style="thin">
        <color rgb="FF000000"/>
      </bottom>
    </border>
    <border>
      <right/>
      <bottom style="hair">
        <color rgb="FF000000"/>
      </bottom>
    </border>
    <border>
      <left style="thin">
        <color rgb="FF000000"/>
      </left>
      <right/>
      <bottom style="hair">
        <color rgb="FF000000"/>
      </bottom>
    </border>
    <border>
      <left style="thin">
        <color rgb="FF000000"/>
      </left>
      <right style="thin">
        <color rgb="FF000000"/>
      </right>
      <bottom style="hair">
        <color rgb="FF000000"/>
      </bottom>
    </border>
    <border>
      <top style="hair">
        <color rgb="FF000000"/>
      </top>
    </border>
    <border>
      <left/>
      <right/>
      <top style="hair">
        <color rgb="FF000000"/>
      </top>
    </border>
    <border>
      <left style="thin">
        <color rgb="FF000000"/>
      </left>
      <right style="thin">
        <color rgb="FF000000"/>
      </right>
      <top style="hair">
        <color rgb="FF000000"/>
      </top>
    </border>
    <border>
      <left style="thin">
        <color rgb="FF000000"/>
      </left>
      <bottom style="hair">
        <color rgb="FF000000"/>
      </bottom>
    </border>
    <border>
      <left style="hair">
        <color rgb="FF000000"/>
      </left>
      <right style="hair">
        <color rgb="FF000000"/>
      </right>
      <top style="hair">
        <color rgb="FF000000"/>
      </top>
      <bottom style="hair">
        <color rgb="FF000000"/>
      </bottom>
    </border>
    <border>
      <left style="hair">
        <color rgb="FF000000"/>
      </left>
      <right/>
      <top style="hair">
        <color rgb="FF000000"/>
      </top>
      <bottom style="thin">
        <color rgb="FF000000"/>
      </bottom>
    </border>
    <border>
      <left/>
      <top style="hair">
        <color rgb="FF000000"/>
      </top>
      <bottom style="thin">
        <color rgb="FF000000"/>
      </bottom>
    </border>
    <border>
      <left style="thin">
        <color rgb="FFEFEFEF"/>
      </left>
      <right/>
      <top style="hair">
        <color rgb="FF000000"/>
      </top>
      <bottom style="thin">
        <color rgb="FF000000"/>
      </bottom>
    </border>
    <border>
      <right style="hair">
        <color rgb="FF000000"/>
      </right>
      <top style="hair">
        <color rgb="FF000000"/>
      </top>
      <bottom style="thin">
        <color rgb="FF000000"/>
      </bottom>
    </border>
    <border>
      <left/>
      <bottom style="hair">
        <color rgb="FF000000"/>
      </bottom>
    </border>
    <border>
      <left/>
      <right style="thin">
        <color rgb="FF000000"/>
      </right>
      <top style="hair">
        <color rgb="FF000000"/>
      </top>
      <bottom style="thin">
        <color rgb="FF000000"/>
      </bottom>
    </border>
    <border>
      <left/>
      <right style="thin">
        <color rgb="FF000000"/>
      </right>
      <bottom style="hair">
        <color rgb="FF000000"/>
      </bottom>
    </border>
    <border>
      <left/>
      <right style="thin">
        <color rgb="FF000000"/>
      </right>
      <top style="hair">
        <color rgb="FF000000"/>
      </top>
      <bottom style="hair">
        <color rgb="FF000000"/>
      </bottom>
    </border>
    <border>
      <right style="thin">
        <color rgb="FF000000"/>
      </right>
      <bottom style="hair">
        <color rgb="FF000000"/>
      </bottom>
    </border>
    <border>
      <right style="thin">
        <color rgb="FF000000"/>
      </right>
      <top style="hair">
        <color rgb="FF000000"/>
      </top>
      <bottom style="thin">
        <color rgb="FF000000"/>
      </bottom>
    </border>
    <border>
      <right style="thin">
        <color rgb="FF000000"/>
      </right>
      <top style="thin">
        <color rgb="FF000000"/>
      </top>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hair">
        <color rgb="FF000000"/>
      </bottom>
    </border>
    <border>
      <left style="thin">
        <color rgb="FF000000"/>
      </left>
      <right style="medium">
        <color rgb="FF000000"/>
      </right>
      <bottom style="hair">
        <color rgb="FF000000"/>
      </bottom>
    </border>
    <border>
      <left style="medium">
        <color rgb="FF000000"/>
      </left>
      <right style="thin">
        <color rgb="FF000000"/>
      </right>
      <bottom style="hair">
        <color rgb="FF000000"/>
      </bottom>
    </border>
    <border>
      <left style="thin">
        <color rgb="FF000000"/>
      </left>
      <right style="medium">
        <color rgb="FF000000"/>
      </right>
      <top style="hair">
        <color rgb="FF000000"/>
      </top>
      <bottom style="hair">
        <color rgb="FF000000"/>
      </bottom>
    </border>
    <border>
      <left style="medium">
        <color rgb="FF000000"/>
      </left>
      <right style="thin">
        <color rgb="FF000000"/>
      </right>
      <top style="hair">
        <color rgb="FF000000"/>
      </top>
      <bottom style="hair">
        <color rgb="FF000000"/>
      </bottom>
    </border>
    <border>
      <left style="medium">
        <color rgb="FF000000"/>
      </left>
      <right style="thin">
        <color rgb="FF000000"/>
      </right>
    </border>
    <border>
      <right style="medium">
        <color rgb="FF000000"/>
      </right>
      <top style="hair">
        <color rgb="FF000000"/>
      </top>
      <bottom style="hair">
        <color rgb="FF000000"/>
      </bottom>
    </border>
    <border>
      <left style="medium">
        <color rgb="FF000000"/>
      </left>
      <right style="thin">
        <color rgb="FF000000"/>
      </right>
      <top style="hair">
        <color rgb="FF000000"/>
      </top>
    </border>
    <border>
      <left style="medium">
        <color rgb="FF000000"/>
      </left>
      <right/>
      <top style="thin">
        <color rgb="FF000000"/>
      </top>
      <bottom style="thin">
        <color rgb="FF000000"/>
      </bottom>
    </border>
    <border>
      <left/>
      <right/>
      <top style="thin">
        <color rgb="FF000000"/>
      </top>
      <bottom style="thin">
        <color rgb="FF000000"/>
      </bottom>
    </border>
    <border>
      <left style="medium">
        <color rgb="FF000000"/>
      </left>
      <bottom style="medium">
        <color rgb="FF000000"/>
      </bottom>
    </border>
    <border>
      <bottom style="medium">
        <color rgb="FF000000"/>
      </bottom>
    </border>
    <border>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border>
    <border>
      <right style="medium">
        <color rgb="FF000000"/>
      </right>
    </border>
    <border>
      <left style="medium">
        <color rgb="FF000000"/>
      </left>
      <top style="thin">
        <color rgb="FF000000"/>
      </top>
      <bottom style="thin">
        <color rgb="FF000000"/>
      </bottom>
    </border>
    <border>
      <left style="thin">
        <color rgb="FF000000"/>
      </left>
      <right style="medium">
        <color rgb="FF000000"/>
      </right>
      <bottom style="thin">
        <color rgb="FF000000"/>
      </bottom>
    </border>
    <border>
      <left style="thin">
        <color rgb="FF000000"/>
      </left>
      <right style="medium">
        <color rgb="FF000000"/>
      </right>
      <top style="thin">
        <color rgb="FF000000"/>
      </top>
      <bottom style="hair">
        <color rgb="FF000000"/>
      </bottom>
    </border>
    <border>
      <left/>
      <right/>
      <bottom style="thin">
        <color rgb="FF000000"/>
      </bottom>
    </border>
    <border>
      <left style="medium">
        <color rgb="FF000000"/>
      </left>
      <right style="thin">
        <color rgb="FF000000"/>
      </right>
      <top style="thin">
        <color rgb="FF000000"/>
      </top>
      <bottom style="medium">
        <color rgb="FF000000"/>
      </bottom>
    </border>
    <border>
      <left style="medium">
        <color rgb="FF000000"/>
      </left>
      <top style="medium">
        <color rgb="FF000000"/>
      </top>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right style="medium">
        <color rgb="FF000000"/>
      </right>
      <top style="medium">
        <color rgb="FF000000"/>
      </top>
      <bottom style="medium">
        <color rgb="FF000000"/>
      </bottom>
    </border>
    <border>
      <right style="thin">
        <color rgb="FF000000"/>
      </right>
    </border>
    <border>
      <right style="thin">
        <color rgb="FF000000"/>
      </right>
      <top style="thin">
        <color rgb="FF000000"/>
      </top>
      <bottom style="hair">
        <color rgb="FF000000"/>
      </bottom>
    </border>
    <border>
      <right style="medium">
        <color rgb="FF000000"/>
      </right>
      <bottom style="hair">
        <color rgb="FF000000"/>
      </bottom>
    </border>
    <border>
      <left style="thin">
        <color rgb="FF000000"/>
      </left>
      <right style="medium">
        <color rgb="FF000000"/>
      </right>
      <top style="hair">
        <color rgb="FF000000"/>
      </top>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border>
    <border>
      <left style="thin">
        <color rgb="FF000000"/>
      </left>
      <right style="medium">
        <color rgb="FF000000"/>
      </right>
      <bottom style="medium">
        <color rgb="FF000000"/>
      </bottom>
    </border>
    <border>
      <right style="medium">
        <color rgb="FF000000"/>
      </right>
      <bottom style="thin">
        <color rgb="FF000000"/>
      </bottom>
    </border>
    <border>
      <right style="thin">
        <color rgb="FF000000"/>
      </right>
      <top style="hair">
        <color rgb="FF000000"/>
      </top>
    </border>
    <border>
      <right style="medium">
        <color rgb="FF000000"/>
      </right>
      <top style="hair">
        <color rgb="FF000000"/>
      </top>
    </border>
    <border>
      <left style="medium">
        <color rgb="FF000000"/>
      </left>
      <right style="thin">
        <color rgb="FF000000"/>
      </right>
      <top style="hair">
        <color rgb="FF000000"/>
      </top>
      <bottom style="thin">
        <color rgb="FF000000"/>
      </bottom>
    </border>
    <border>
      <left style="medium">
        <color rgb="FF000000"/>
      </left>
      <right/>
      <bottom/>
    </border>
    <border>
      <left/>
      <right style="thin">
        <color rgb="FF000000"/>
      </right>
      <bottom style="thin">
        <color rgb="FF000000"/>
      </bottom>
    </border>
    <border>
      <right style="medium">
        <color rgb="FF000000"/>
      </right>
      <top style="thin">
        <color rgb="FF000000"/>
      </top>
      <bottom style="hair">
        <color rgb="FF000000"/>
      </bottom>
    </border>
    <border>
      <left style="medium">
        <color rgb="FF000000"/>
      </left>
      <right style="thin">
        <color rgb="FF000000"/>
      </right>
      <top style="medium">
        <color rgb="FF000000"/>
      </top>
      <bottom style="medium">
        <color rgb="FF000000"/>
      </bottom>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top style="medium">
        <color rgb="FF000000"/>
      </top>
      <bottom style="thin">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style="double">
        <color rgb="FF000000"/>
      </top>
      <bottom style="double">
        <color rgb="FF000000"/>
      </bottom>
    </border>
    <border>
      <left style="thin">
        <color rgb="FF000000"/>
      </left>
      <top style="double">
        <color rgb="FF000000"/>
      </top>
      <bottom style="double">
        <color rgb="FF000000"/>
      </bottom>
    </border>
    <border>
      <top style="double">
        <color rgb="FF000000"/>
      </top>
      <bottom style="double">
        <color rgb="FF000000"/>
      </bottom>
    </border>
    <border>
      <right style="thin">
        <color rgb="FF000000"/>
      </right>
      <top style="double">
        <color rgb="FF000000"/>
      </top>
      <bottom style="double">
        <color rgb="FF000000"/>
      </bottom>
    </border>
    <border>
      <left style="thin">
        <color rgb="FF000000"/>
      </left>
    </border>
    <border>
      <left style="thin">
        <color rgb="FF000000"/>
      </left>
      <right style="thin">
        <color rgb="FF000000"/>
      </right>
      <top style="double">
        <color rgb="FF000000"/>
      </top>
    </border>
    <border>
      <left style="thin">
        <color rgb="FF000000"/>
      </left>
      <top style="double">
        <color rgb="FF000000"/>
      </top>
    </border>
    <border>
      <top style="double">
        <color rgb="FF000000"/>
      </top>
    </border>
    <border>
      <right style="thin">
        <color rgb="FF000000"/>
      </right>
      <top style="double">
        <color rgb="FF000000"/>
      </top>
    </border>
    <border>
      <left style="thin">
        <color rgb="FF000000"/>
      </left>
      <right style="thin">
        <color rgb="FF000000"/>
      </right>
      <top style="double">
        <color rgb="FF000000"/>
      </top>
      <bottom style="thin">
        <color rgb="FF000000"/>
      </bottom>
    </border>
    <border>
      <top style="double">
        <color rgb="FF000000"/>
      </top>
      <bottom style="thin">
        <color rgb="FF000000"/>
      </bottom>
    </border>
  </borders>
  <cellStyleXfs count="1">
    <xf borderId="0" fillId="0" fontId="0" numFmtId="0" applyAlignment="1" applyFont="1"/>
  </cellStyleXfs>
  <cellXfs count="1123">
    <xf borderId="0" fillId="0" fontId="0" numFmtId="0" xfId="0" applyAlignment="1" applyFont="1">
      <alignment readingOrder="0" shrinkToFit="0" vertical="bottom" wrapText="0"/>
    </xf>
    <xf borderId="0" fillId="0" fontId="1" numFmtId="0" xfId="0" applyAlignment="1" applyFont="1">
      <alignment readingOrder="0"/>
    </xf>
    <xf borderId="1" fillId="0" fontId="2" numFmtId="0" xfId="0" applyAlignment="1" applyBorder="1" applyFont="1">
      <alignment horizontal="center" readingOrder="0" shrinkToFit="0" vertical="center" wrapText="1"/>
    </xf>
    <xf borderId="2" fillId="0" fontId="2" numFmtId="0" xfId="0" applyAlignment="1" applyBorder="1" applyFont="1">
      <alignment horizontal="center" readingOrder="0" shrinkToFit="0" vertical="center" wrapText="1"/>
    </xf>
    <xf borderId="0" fillId="0" fontId="3" numFmtId="0" xfId="0" applyAlignment="1" applyFont="1">
      <alignment horizontal="left" readingOrder="0" shrinkToFit="0" vertical="top" wrapText="1"/>
    </xf>
    <xf borderId="0" fillId="0" fontId="4" numFmtId="0" xfId="0" applyAlignment="1" applyFont="1">
      <alignment readingOrder="0" shrinkToFit="0" vertical="top" wrapText="1"/>
    </xf>
    <xf borderId="0" fillId="0" fontId="5" numFmtId="0" xfId="0" applyAlignment="1" applyFont="1">
      <alignment readingOrder="0"/>
    </xf>
    <xf borderId="0" fillId="0" fontId="6" numFmtId="0" xfId="0" applyAlignment="1" applyFont="1">
      <alignment horizontal="left" vertical="center"/>
    </xf>
    <xf borderId="0" fillId="0" fontId="7" numFmtId="0" xfId="0" applyAlignment="1" applyFont="1">
      <alignment horizontal="center" shrinkToFit="0" vertical="center" wrapText="1"/>
    </xf>
    <xf borderId="0" fillId="0" fontId="7" numFmtId="0" xfId="0" applyAlignment="1" applyFont="1">
      <alignment horizontal="center" shrinkToFit="0" wrapText="1"/>
    </xf>
    <xf borderId="0" fillId="0" fontId="7" numFmtId="0" xfId="0" applyAlignment="1" applyFont="1">
      <alignment horizontal="left" readingOrder="0" shrinkToFit="0" vertical="center" wrapText="0"/>
    </xf>
    <xf borderId="0" fillId="0" fontId="7" numFmtId="0" xfId="0" applyAlignment="1" applyFont="1">
      <alignment horizontal="center"/>
    </xf>
    <xf borderId="3" fillId="2" fontId="8" numFmtId="0" xfId="0" applyAlignment="1" applyBorder="1" applyFill="1" applyFont="1">
      <alignment horizontal="center"/>
    </xf>
    <xf borderId="4" fillId="0" fontId="9" numFmtId="0" xfId="0" applyBorder="1" applyFont="1"/>
    <xf borderId="5" fillId="3" fontId="8" numFmtId="0" xfId="0" applyAlignment="1" applyBorder="1" applyFill="1" applyFont="1">
      <alignment horizontal="center" textRotation="90"/>
    </xf>
    <xf borderId="6" fillId="0" fontId="9" numFmtId="0" xfId="0" applyBorder="1" applyFont="1"/>
    <xf borderId="7" fillId="2" fontId="8" numFmtId="0" xfId="0" applyAlignment="1" applyBorder="1" applyFont="1">
      <alignment horizontal="center"/>
    </xf>
    <xf borderId="5" fillId="3" fontId="10" numFmtId="0" xfId="0" applyBorder="1" applyFont="1"/>
    <xf borderId="0" fillId="0" fontId="7" numFmtId="0" xfId="0" applyAlignment="1" applyFont="1">
      <alignment horizontal="center" vertical="bottom"/>
    </xf>
    <xf borderId="0" fillId="0" fontId="7" numFmtId="0" xfId="0" applyAlignment="1" applyFont="1">
      <alignment horizontal="center" readingOrder="0" shrinkToFit="0" vertical="bottom" wrapText="1"/>
    </xf>
    <xf borderId="8" fillId="0" fontId="7" numFmtId="0" xfId="0" applyAlignment="1" applyBorder="1" applyFont="1">
      <alignment horizontal="center" shrinkToFit="0" vertical="bottom" wrapText="1"/>
    </xf>
    <xf borderId="8" fillId="0" fontId="7" numFmtId="0" xfId="0" applyAlignment="1" applyBorder="1" applyFont="1">
      <alignment horizontal="center" readingOrder="0" shrinkToFit="0" vertical="bottom" wrapText="1"/>
    </xf>
    <xf borderId="8" fillId="0" fontId="9" numFmtId="0" xfId="0" applyBorder="1" applyFont="1"/>
    <xf borderId="0" fillId="0" fontId="7" numFmtId="0" xfId="0" applyAlignment="1" applyFont="1">
      <alignment horizontal="center" readingOrder="0" vertical="bottom"/>
    </xf>
    <xf borderId="8" fillId="0" fontId="7" numFmtId="0" xfId="0" applyAlignment="1" applyBorder="1" applyFont="1">
      <alignment horizontal="center" vertical="bottom"/>
    </xf>
    <xf borderId="9" fillId="0" fontId="8" numFmtId="0" xfId="0" applyAlignment="1" applyBorder="1" applyFont="1">
      <alignment horizontal="center" readingOrder="0" textRotation="90" vertical="bottom"/>
    </xf>
    <xf borderId="10" fillId="0" fontId="8" numFmtId="0" xfId="0" applyAlignment="1" applyBorder="1" applyFont="1">
      <alignment horizontal="center" readingOrder="0" textRotation="90"/>
    </xf>
    <xf borderId="11" fillId="3" fontId="8" numFmtId="0" xfId="0" applyAlignment="1" applyBorder="1" applyFont="1">
      <alignment horizontal="center" textRotation="90"/>
    </xf>
    <xf borderId="12" fillId="0" fontId="8" numFmtId="0" xfId="0" applyAlignment="1" applyBorder="1" applyFont="1">
      <alignment horizontal="center" readingOrder="0" textRotation="90"/>
    </xf>
    <xf borderId="9" fillId="0" fontId="8" numFmtId="0" xfId="0" applyAlignment="1" applyBorder="1" applyFont="1">
      <alignment horizontal="center" readingOrder="0" textRotation="90"/>
    </xf>
    <xf borderId="9" fillId="0" fontId="8" numFmtId="0" xfId="0" applyAlignment="1" applyBorder="1" applyFont="1">
      <alignment horizontal="center" textRotation="90"/>
    </xf>
    <xf borderId="13" fillId="2" fontId="8" numFmtId="0" xfId="0" applyAlignment="1" applyBorder="1" applyFont="1">
      <alignment horizontal="center" readingOrder="0" textRotation="90"/>
    </xf>
    <xf borderId="6" fillId="0" fontId="8" numFmtId="0" xfId="0" applyAlignment="1" applyBorder="1" applyFont="1">
      <alignment horizontal="center" readingOrder="0" textRotation="90"/>
    </xf>
    <xf borderId="14" fillId="2" fontId="8" numFmtId="0" xfId="0" applyAlignment="1" applyBorder="1" applyFont="1">
      <alignment horizontal="center" textRotation="90"/>
    </xf>
    <xf borderId="15" fillId="3" fontId="10" numFmtId="0" xfId="0" applyBorder="1" applyFont="1"/>
    <xf borderId="16" fillId="0" fontId="8" numFmtId="0" xfId="0" applyAlignment="1" applyBorder="1" applyFont="1">
      <alignment horizontal="center" textRotation="90"/>
    </xf>
    <xf borderId="16" fillId="0" fontId="8" numFmtId="0" xfId="0" applyAlignment="1" applyBorder="1" applyFont="1">
      <alignment horizontal="center" readingOrder="0" textRotation="90"/>
    </xf>
    <xf borderId="17" fillId="0" fontId="11" numFmtId="0" xfId="0" applyBorder="1" applyFont="1"/>
    <xf borderId="18" fillId="0" fontId="12" numFmtId="0" xfId="0" applyAlignment="1" applyBorder="1" applyFont="1">
      <alignment horizontal="center"/>
    </xf>
    <xf borderId="19" fillId="0" fontId="12" numFmtId="164" xfId="0" applyBorder="1" applyFont="1" applyNumberFormat="1"/>
    <xf borderId="0" fillId="0" fontId="12" numFmtId="0" xfId="0" applyFont="1"/>
    <xf borderId="18" fillId="0" fontId="12" numFmtId="0" xfId="0" applyBorder="1" applyFont="1"/>
    <xf borderId="18" fillId="0" fontId="13" numFmtId="0" xfId="0" applyBorder="1" applyFont="1"/>
    <xf borderId="17" fillId="0" fontId="14" numFmtId="0" xfId="0" applyAlignment="1" applyBorder="1" applyFont="1">
      <alignment horizontal="center"/>
    </xf>
    <xf borderId="20" fillId="3" fontId="14" numFmtId="0" xfId="0" applyAlignment="1" applyBorder="1" applyFont="1">
      <alignment horizontal="center"/>
    </xf>
    <xf borderId="21" fillId="3" fontId="10" numFmtId="0" xfId="0" applyBorder="1" applyFont="1"/>
    <xf borderId="17" fillId="0" fontId="12" numFmtId="0" xfId="0" applyAlignment="1" applyBorder="1" applyFont="1">
      <alignment horizontal="center"/>
    </xf>
    <xf borderId="22" fillId="0" fontId="12" numFmtId="0" xfId="0" applyAlignment="1" applyBorder="1" applyFont="1">
      <alignment horizontal="center"/>
    </xf>
    <xf borderId="23" fillId="0" fontId="12" numFmtId="164" xfId="0" applyAlignment="1" applyBorder="1" applyFont="1" applyNumberFormat="1">
      <alignment readingOrder="0"/>
    </xf>
    <xf borderId="22" fillId="0" fontId="15" numFmtId="0" xfId="0" applyAlignment="1" applyBorder="1" applyFont="1">
      <alignment readingOrder="0"/>
    </xf>
    <xf borderId="22" fillId="4" fontId="12" numFmtId="0" xfId="0" applyAlignment="1" applyBorder="1" applyFill="1" applyFont="1">
      <alignment readingOrder="0"/>
    </xf>
    <xf borderId="22" fillId="4" fontId="12" numFmtId="0" xfId="0" applyBorder="1" applyFont="1"/>
    <xf borderId="22" fillId="0" fontId="12" numFmtId="0" xfId="0" applyBorder="1" applyFont="1"/>
    <xf borderId="24" fillId="5" fontId="12" numFmtId="0" xfId="0" applyAlignment="1" applyBorder="1" applyFill="1" applyFont="1">
      <alignment readingOrder="0"/>
    </xf>
    <xf borderId="24" fillId="5" fontId="12" numFmtId="0" xfId="0" applyBorder="1" applyFont="1"/>
    <xf borderId="22" fillId="0" fontId="13" numFmtId="0" xfId="0" applyBorder="1" applyFont="1"/>
    <xf borderId="22" fillId="0" fontId="11" numFmtId="0" xfId="0" applyBorder="1" applyFont="1"/>
    <xf borderId="25" fillId="0" fontId="14" numFmtId="0" xfId="0" applyAlignment="1" applyBorder="1" applyFont="1">
      <alignment horizontal="center"/>
    </xf>
    <xf borderId="25" fillId="3" fontId="14" numFmtId="0" xfId="0" applyAlignment="1" applyBorder="1" applyFont="1">
      <alignment horizontal="center"/>
    </xf>
    <xf borderId="25" fillId="0" fontId="5" numFmtId="0" xfId="0" applyBorder="1" applyFont="1"/>
    <xf borderId="26" fillId="2" fontId="16" numFmtId="0" xfId="0" applyAlignment="1" applyBorder="1" applyFont="1">
      <alignment readingOrder="0"/>
    </xf>
    <xf borderId="25" fillId="0" fontId="17" numFmtId="0" xfId="0" applyAlignment="1" applyBorder="1" applyFont="1">
      <alignment horizontal="left" vertical="center"/>
    </xf>
    <xf borderId="25" fillId="0" fontId="18" numFmtId="0" xfId="0" applyAlignment="1" applyBorder="1" applyFont="1">
      <alignment horizontal="center"/>
    </xf>
    <xf borderId="27" fillId="3" fontId="10" numFmtId="0" xfId="0" applyBorder="1" applyFont="1"/>
    <xf borderId="28" fillId="0" fontId="12" numFmtId="0" xfId="0" applyAlignment="1" applyBorder="1" applyFont="1">
      <alignment horizontal="center"/>
    </xf>
    <xf borderId="29" fillId="0" fontId="12" numFmtId="0" xfId="0" applyAlignment="1" applyBorder="1" applyFont="1">
      <alignment horizontal="center"/>
    </xf>
    <xf borderId="30" fillId="0" fontId="12" numFmtId="164" xfId="0" applyBorder="1" applyFont="1" applyNumberFormat="1"/>
    <xf borderId="29" fillId="0" fontId="15" numFmtId="0" xfId="0" applyAlignment="1" applyBorder="1" applyFont="1">
      <alignment readingOrder="0"/>
    </xf>
    <xf borderId="29" fillId="4" fontId="12" numFmtId="0" xfId="0" applyAlignment="1" applyBorder="1" applyFont="1">
      <alignment readingOrder="0"/>
    </xf>
    <xf borderId="29" fillId="4" fontId="12" numFmtId="0" xfId="0" applyBorder="1" applyFont="1"/>
    <xf borderId="29" fillId="0" fontId="12" numFmtId="0" xfId="0" applyBorder="1" applyFont="1"/>
    <xf borderId="31" fillId="5" fontId="12" numFmtId="0" xfId="0" applyBorder="1" applyFont="1"/>
    <xf borderId="29" fillId="0" fontId="11" numFmtId="0" xfId="0" applyBorder="1" applyFont="1"/>
    <xf borderId="32" fillId="0" fontId="14" numFmtId="0" xfId="0" applyAlignment="1" applyBorder="1" applyFont="1">
      <alignment horizontal="center"/>
    </xf>
    <xf borderId="32" fillId="3" fontId="14" numFmtId="0" xfId="0" applyAlignment="1" applyBorder="1" applyFont="1">
      <alignment horizontal="center"/>
    </xf>
    <xf borderId="32" fillId="0" fontId="5" numFmtId="0" xfId="0" applyBorder="1" applyFont="1"/>
    <xf borderId="33" fillId="2" fontId="16" numFmtId="0" xfId="0" applyBorder="1" applyFont="1"/>
    <xf borderId="32" fillId="0" fontId="17" numFmtId="0" xfId="0" applyAlignment="1" applyBorder="1" applyFont="1">
      <alignment horizontal="left" vertical="center"/>
    </xf>
    <xf borderId="32" fillId="0" fontId="18" numFmtId="0" xfId="0" applyAlignment="1" applyBorder="1" applyFont="1">
      <alignment horizontal="center"/>
    </xf>
    <xf borderId="31" fillId="3" fontId="10" numFmtId="0" xfId="0" applyBorder="1" applyFont="1"/>
    <xf borderId="28" fillId="0" fontId="12" numFmtId="165" xfId="0" applyAlignment="1" applyBorder="1" applyFont="1" applyNumberFormat="1">
      <alignment horizontal="center" readingOrder="0"/>
    </xf>
    <xf borderId="28" fillId="0" fontId="12" numFmtId="166" xfId="0" applyAlignment="1" applyBorder="1" applyFont="1" applyNumberFormat="1">
      <alignment horizontal="center"/>
    </xf>
    <xf borderId="34" fillId="0" fontId="12" numFmtId="0" xfId="0" applyAlignment="1" applyBorder="1" applyFont="1">
      <alignment horizontal="center"/>
    </xf>
    <xf borderId="35" fillId="0" fontId="12" numFmtId="164" xfId="0" applyBorder="1" applyFont="1" applyNumberFormat="1"/>
    <xf borderId="34" fillId="0" fontId="11" numFmtId="0" xfId="0" applyBorder="1" applyFont="1"/>
    <xf borderId="34" fillId="4" fontId="12" numFmtId="0" xfId="0" applyBorder="1" applyFont="1"/>
    <xf borderId="34" fillId="0" fontId="12" numFmtId="0" xfId="0" applyBorder="1" applyFont="1"/>
    <xf borderId="36" fillId="5" fontId="12" numFmtId="0" xfId="0" applyBorder="1" applyFont="1"/>
    <xf borderId="36" fillId="0" fontId="12" numFmtId="0" xfId="0" applyBorder="1" applyFont="1"/>
    <xf borderId="37" fillId="0" fontId="14" numFmtId="0" xfId="0" applyAlignment="1" applyBorder="1" applyFont="1">
      <alignment horizontal="center"/>
    </xf>
    <xf borderId="37" fillId="3" fontId="14" numFmtId="0" xfId="0" applyAlignment="1" applyBorder="1" applyFont="1">
      <alignment horizontal="center"/>
    </xf>
    <xf borderId="37" fillId="0" fontId="5" numFmtId="0" xfId="0" applyBorder="1" applyFont="1"/>
    <xf borderId="37" fillId="0" fontId="18" numFmtId="0" xfId="0" applyAlignment="1" applyBorder="1" applyFont="1">
      <alignment horizontal="center"/>
    </xf>
    <xf borderId="36" fillId="3" fontId="10" numFmtId="0" xfId="0" applyBorder="1" applyFont="1"/>
    <xf borderId="23" fillId="0" fontId="12" numFmtId="164" xfId="0" applyBorder="1" applyFont="1" applyNumberFormat="1"/>
    <xf borderId="38" fillId="5" fontId="12" numFmtId="0" xfId="0" applyBorder="1" applyFont="1"/>
    <xf borderId="24" fillId="0" fontId="12" numFmtId="0" xfId="0" applyBorder="1" applyFont="1"/>
    <xf borderId="24" fillId="3" fontId="10" numFmtId="0" xfId="0" applyBorder="1" applyFont="1"/>
    <xf borderId="29" fillId="4" fontId="19" numFmtId="0" xfId="0" applyAlignment="1" applyBorder="1" applyFont="1">
      <alignment readingOrder="0"/>
    </xf>
    <xf borderId="31" fillId="0" fontId="12" numFmtId="0" xfId="0" applyBorder="1" applyFont="1"/>
    <xf borderId="30" fillId="0" fontId="14" numFmtId="0" xfId="0" applyAlignment="1" applyBorder="1" applyFont="1">
      <alignment horizontal="center"/>
    </xf>
    <xf borderId="30" fillId="0" fontId="18" numFmtId="0" xfId="0" applyAlignment="1" applyBorder="1" applyFont="1">
      <alignment horizontal="center"/>
    </xf>
    <xf borderId="39" fillId="0" fontId="14" numFmtId="0" xfId="0" applyAlignment="1" applyBorder="1" applyFont="1">
      <alignment horizontal="center"/>
    </xf>
    <xf borderId="33" fillId="2" fontId="16" numFmtId="0" xfId="0" applyAlignment="1" applyBorder="1" applyFont="1">
      <alignment readingOrder="0"/>
    </xf>
    <xf borderId="34" fillId="4" fontId="19" numFmtId="0" xfId="0" applyAlignment="1" applyBorder="1" applyFont="1">
      <alignment readingOrder="0"/>
    </xf>
    <xf borderId="17" fillId="0" fontId="12" numFmtId="166" xfId="0" applyAlignment="1" applyBorder="1" applyFont="1" applyNumberFormat="1">
      <alignment horizontal="center"/>
    </xf>
    <xf borderId="22" fillId="4" fontId="19" numFmtId="0" xfId="0" applyAlignment="1" applyBorder="1" applyFont="1">
      <alignment readingOrder="0"/>
    </xf>
    <xf borderId="25" fillId="0" fontId="17" numFmtId="0" xfId="0" applyAlignment="1" applyBorder="1" applyFont="1">
      <alignment horizontal="left" readingOrder="0"/>
    </xf>
    <xf borderId="29" fillId="0" fontId="11" numFmtId="0" xfId="0" applyAlignment="1" applyBorder="1" applyFont="1">
      <alignment readingOrder="0"/>
    </xf>
    <xf borderId="28" fillId="0" fontId="12" numFmtId="167" xfId="0" applyAlignment="1" applyBorder="1" applyFont="1" applyNumberFormat="1">
      <alignment horizontal="center"/>
    </xf>
    <xf borderId="34" fillId="0" fontId="11" numFmtId="0" xfId="0" applyAlignment="1" applyBorder="1" applyFont="1">
      <alignment readingOrder="0"/>
    </xf>
    <xf borderId="22" fillId="0" fontId="11" numFmtId="0" xfId="0" applyAlignment="1" applyBorder="1" applyFont="1">
      <alignment readingOrder="0"/>
    </xf>
    <xf borderId="32" fillId="3" fontId="10" numFmtId="0" xfId="0" applyBorder="1" applyFont="1"/>
    <xf borderId="40" fillId="0" fontId="11" numFmtId="0" xfId="0" applyAlignment="1" applyBorder="1" applyFont="1">
      <alignment readingOrder="0" vertical="center"/>
    </xf>
    <xf borderId="29" fillId="0" fontId="11" numFmtId="0" xfId="0" applyAlignment="1" applyBorder="1" applyFont="1">
      <alignment vertical="center"/>
    </xf>
    <xf borderId="29" fillId="0" fontId="13" numFmtId="0" xfId="0" applyBorder="1" applyFont="1"/>
    <xf borderId="41" fillId="3" fontId="14" numFmtId="0" xfId="0" applyAlignment="1" applyBorder="1" applyFont="1">
      <alignment horizontal="center"/>
    </xf>
    <xf borderId="29" fillId="0" fontId="14" numFmtId="0" xfId="0" applyAlignment="1" applyBorder="1" applyFont="1">
      <alignment horizontal="center"/>
    </xf>
    <xf borderId="31" fillId="3" fontId="14" numFmtId="0" xfId="0" applyAlignment="1" applyBorder="1" applyFont="1">
      <alignment horizontal="center"/>
    </xf>
    <xf borderId="42" fillId="3" fontId="14" numFmtId="0" xfId="0" applyAlignment="1" applyBorder="1" applyFont="1">
      <alignment horizontal="center"/>
    </xf>
    <xf borderId="34" fillId="0" fontId="11" numFmtId="0" xfId="0" applyAlignment="1" applyBorder="1" applyFont="1">
      <alignment vertical="center"/>
    </xf>
    <xf borderId="8" fillId="6" fontId="11" numFmtId="0" xfId="0" applyAlignment="1" applyBorder="1" applyFill="1" applyFont="1">
      <alignment readingOrder="0" vertical="center"/>
    </xf>
    <xf borderId="34" fillId="6" fontId="11" numFmtId="0" xfId="0" applyAlignment="1" applyBorder="1" applyFont="1">
      <alignment vertical="center"/>
    </xf>
    <xf borderId="35" fillId="0" fontId="14" numFmtId="0" xfId="0" applyAlignment="1" applyBorder="1" applyFont="1">
      <alignment horizontal="center"/>
    </xf>
    <xf borderId="17" fillId="0" fontId="12" numFmtId="167" xfId="0" applyAlignment="1" applyBorder="1" applyFont="1" applyNumberFormat="1">
      <alignment horizontal="center"/>
    </xf>
    <xf borderId="22" fillId="0" fontId="5" numFmtId="0" xfId="0" applyBorder="1" applyFont="1"/>
    <xf borderId="22" fillId="0" fontId="11" numFmtId="0" xfId="0" applyAlignment="1" applyBorder="1" applyFont="1">
      <alignment vertical="center"/>
    </xf>
    <xf borderId="22" fillId="6" fontId="11" numFmtId="0" xfId="0" applyAlignment="1" applyBorder="1" applyFont="1">
      <alignment readingOrder="0" vertical="center"/>
    </xf>
    <xf borderId="22" fillId="6" fontId="11" numFmtId="0" xfId="0" applyAlignment="1" applyBorder="1" applyFont="1">
      <alignment vertical="center"/>
    </xf>
    <xf borderId="23" fillId="0" fontId="14" numFmtId="0" xfId="0" applyAlignment="1" applyBorder="1" applyFont="1">
      <alignment horizontal="center"/>
    </xf>
    <xf borderId="29" fillId="0" fontId="5" numFmtId="0" xfId="0" applyBorder="1" applyFont="1"/>
    <xf borderId="29" fillId="6" fontId="11" numFmtId="0" xfId="0" applyAlignment="1" applyBorder="1" applyFont="1">
      <alignment readingOrder="0" vertical="center"/>
    </xf>
    <xf borderId="29" fillId="6" fontId="11" numFmtId="0" xfId="0" applyAlignment="1" applyBorder="1" applyFont="1">
      <alignment vertical="center"/>
    </xf>
    <xf borderId="28" fillId="0" fontId="12" numFmtId="165" xfId="0" applyAlignment="1" applyBorder="1" applyFont="1" applyNumberFormat="1">
      <alignment horizontal="center"/>
    </xf>
    <xf borderId="29" fillId="6" fontId="12" numFmtId="0" xfId="0" applyBorder="1" applyFont="1"/>
    <xf borderId="28" fillId="2" fontId="12" numFmtId="166" xfId="0" applyAlignment="1" applyBorder="1" applyFont="1" applyNumberFormat="1">
      <alignment horizontal="center"/>
    </xf>
    <xf borderId="43" fillId="2" fontId="12" numFmtId="0" xfId="0" applyAlignment="1" applyBorder="1" applyFont="1">
      <alignment horizontal="center"/>
    </xf>
    <xf borderId="44" fillId="2" fontId="12" numFmtId="164" xfId="0" applyBorder="1" applyFont="1" applyNumberFormat="1"/>
    <xf borderId="36" fillId="2" fontId="11" numFmtId="0" xfId="0" applyBorder="1" applyFont="1"/>
    <xf borderId="36" fillId="4" fontId="19" numFmtId="0" xfId="0" applyAlignment="1" applyBorder="1" applyFont="1">
      <alignment readingOrder="0"/>
    </xf>
    <xf borderId="36" fillId="4" fontId="12" numFmtId="0" xfId="0" applyBorder="1" applyFont="1"/>
    <xf borderId="36" fillId="2" fontId="12" numFmtId="0" xfId="0" applyBorder="1" applyFont="1"/>
    <xf borderId="34" fillId="6" fontId="11" numFmtId="0" xfId="0" applyAlignment="1" applyBorder="1" applyFont="1">
      <alignment readingOrder="0" vertical="center"/>
    </xf>
    <xf borderId="34" fillId="6" fontId="12" numFmtId="0" xfId="0" applyBorder="1" applyFont="1"/>
    <xf borderId="34" fillId="0" fontId="13" numFmtId="0" xfId="0" applyBorder="1" applyFont="1"/>
    <xf borderId="43" fillId="0" fontId="12" numFmtId="0" xfId="0" applyBorder="1" applyFont="1"/>
    <xf borderId="37" fillId="2" fontId="14" numFmtId="0" xfId="0" applyAlignment="1" applyBorder="1" applyFont="1">
      <alignment horizontal="center"/>
    </xf>
    <xf borderId="37" fillId="2" fontId="18" numFmtId="0" xfId="0" applyAlignment="1" applyBorder="1" applyFont="1">
      <alignment horizontal="center"/>
    </xf>
    <xf borderId="17" fillId="2" fontId="12" numFmtId="0" xfId="0" applyAlignment="1" applyBorder="1" applyFont="1">
      <alignment horizontal="center"/>
    </xf>
    <xf borderId="45" fillId="2" fontId="12" numFmtId="0" xfId="0" applyAlignment="1" applyBorder="1" applyFont="1">
      <alignment horizontal="center"/>
    </xf>
    <xf borderId="46" fillId="2" fontId="12" numFmtId="164" xfId="0" applyBorder="1" applyFont="1" applyNumberFormat="1"/>
    <xf borderId="38" fillId="2" fontId="11" numFmtId="0" xfId="0" applyBorder="1" applyFont="1"/>
    <xf borderId="38" fillId="4" fontId="12" numFmtId="0" xfId="0" applyAlignment="1" applyBorder="1" applyFont="1">
      <alignment readingOrder="0"/>
    </xf>
    <xf borderId="38" fillId="4" fontId="12" numFmtId="0" xfId="0" applyBorder="1" applyFont="1"/>
    <xf borderId="38" fillId="0" fontId="12" numFmtId="0" xfId="0" applyBorder="1" applyFont="1"/>
    <xf borderId="38" fillId="2" fontId="12" numFmtId="0" xfId="0" applyBorder="1" applyFont="1"/>
    <xf borderId="40" fillId="0" fontId="12" numFmtId="0" xfId="0" applyBorder="1" applyFont="1"/>
    <xf borderId="40" fillId="6" fontId="11" numFmtId="0" xfId="0" applyAlignment="1" applyBorder="1" applyFont="1">
      <alignment readingOrder="0" vertical="center"/>
    </xf>
    <xf borderId="40" fillId="6" fontId="12" numFmtId="0" xfId="0" applyBorder="1" applyFont="1"/>
    <xf borderId="40" fillId="0" fontId="13" numFmtId="0" xfId="0" applyBorder="1" applyFont="1"/>
    <xf borderId="45" fillId="0" fontId="12" numFmtId="0" xfId="0" applyBorder="1" applyFont="1"/>
    <xf borderId="47" fillId="2" fontId="14" numFmtId="0" xfId="0" applyAlignment="1" applyBorder="1" applyFont="1">
      <alignment horizontal="center"/>
    </xf>
    <xf borderId="47" fillId="3" fontId="14" numFmtId="0" xfId="0" applyAlignment="1" applyBorder="1" applyFont="1">
      <alignment horizontal="center"/>
    </xf>
    <xf borderId="47" fillId="0" fontId="18" numFmtId="0" xfId="0" applyAlignment="1" applyBorder="1" applyFont="1">
      <alignment horizontal="center"/>
    </xf>
    <xf borderId="47" fillId="2" fontId="18" numFmtId="0" xfId="0" applyAlignment="1" applyBorder="1" applyFont="1">
      <alignment horizontal="center"/>
    </xf>
    <xf borderId="38" fillId="3" fontId="10" numFmtId="0" xfId="0" applyBorder="1" applyFont="1"/>
    <xf borderId="28" fillId="2" fontId="12" numFmtId="0" xfId="0" applyAlignment="1" applyBorder="1" applyFont="1">
      <alignment horizontal="center"/>
    </xf>
    <xf borderId="48" fillId="0" fontId="11" numFmtId="0" xfId="0" applyBorder="1" applyFont="1"/>
    <xf borderId="48" fillId="4" fontId="12" numFmtId="0" xfId="0" applyBorder="1" applyFont="1"/>
    <xf borderId="48" fillId="0" fontId="12" numFmtId="0" xfId="0" applyBorder="1" applyFont="1"/>
    <xf borderId="49" fillId="5" fontId="12" numFmtId="0" xfId="0" applyBorder="1" applyFont="1"/>
    <xf borderId="48" fillId="6" fontId="11" numFmtId="0" xfId="0" applyAlignment="1" applyBorder="1" applyFont="1">
      <alignment readingOrder="0" vertical="center"/>
    </xf>
    <xf borderId="34" fillId="6" fontId="11" numFmtId="0" xfId="0" applyBorder="1" applyFont="1"/>
    <xf borderId="50" fillId="0" fontId="18" numFmtId="0" xfId="0" applyAlignment="1" applyBorder="1" applyFont="1">
      <alignment horizontal="center"/>
    </xf>
    <xf borderId="24" fillId="7" fontId="12" numFmtId="0" xfId="0" applyAlignment="1" applyBorder="1" applyFill="1" applyFont="1">
      <alignment readingOrder="0"/>
    </xf>
    <xf borderId="22" fillId="6" fontId="12" numFmtId="0" xfId="0" applyBorder="1" applyFont="1"/>
    <xf borderId="25" fillId="0" fontId="18" numFmtId="0" xfId="0" applyAlignment="1" applyBorder="1" applyFont="1">
      <alignment horizontal="center" readingOrder="0"/>
    </xf>
    <xf borderId="31" fillId="7" fontId="12" numFmtId="0" xfId="0" applyAlignment="1" applyBorder="1" applyFont="1">
      <alignment readingOrder="0"/>
    </xf>
    <xf borderId="32" fillId="0" fontId="20" numFmtId="0" xfId="0" applyAlignment="1" applyBorder="1" applyFont="1">
      <alignment horizontal="center"/>
    </xf>
    <xf borderId="30" fillId="0" fontId="20" numFmtId="0" xfId="0" applyAlignment="1" applyBorder="1" applyFont="1">
      <alignment horizontal="center"/>
    </xf>
    <xf borderId="34" fillId="4" fontId="12" numFmtId="0" xfId="0" applyAlignment="1" applyBorder="1" applyFont="1">
      <alignment readingOrder="0"/>
    </xf>
    <xf borderId="35" fillId="0" fontId="20" numFmtId="0" xfId="0" applyAlignment="1" applyBorder="1" applyFont="1">
      <alignment horizontal="center"/>
    </xf>
    <xf borderId="44" fillId="3" fontId="14" numFmtId="0" xfId="0" applyAlignment="1" applyBorder="1" applyFont="1">
      <alignment horizontal="center"/>
    </xf>
    <xf borderId="24" fillId="0" fontId="11" numFmtId="0" xfId="0" applyBorder="1" applyFont="1"/>
    <xf borderId="31" fillId="0" fontId="11" numFmtId="0" xfId="0" applyBorder="1" applyFont="1"/>
    <xf borderId="31" fillId="8" fontId="11" numFmtId="0" xfId="0" applyBorder="1" applyFill="1" applyFont="1"/>
    <xf borderId="29" fillId="8" fontId="12" numFmtId="0" xfId="0" applyBorder="1" applyFont="1"/>
    <xf borderId="32" fillId="0" fontId="18" numFmtId="0" xfId="0" applyAlignment="1" applyBorder="1" applyFont="1">
      <alignment horizontal="center" readingOrder="0"/>
    </xf>
    <xf borderId="31" fillId="8" fontId="12" numFmtId="0" xfId="0" applyAlignment="1" applyBorder="1" applyFont="1">
      <alignment readingOrder="0"/>
    </xf>
    <xf borderId="29" fillId="8" fontId="12" numFmtId="0" xfId="0" applyAlignment="1" applyBorder="1" applyFont="1">
      <alignment readingOrder="0"/>
    </xf>
    <xf borderId="36" fillId="7" fontId="12" numFmtId="0" xfId="0" applyAlignment="1" applyBorder="1" applyFont="1">
      <alignment readingOrder="0"/>
    </xf>
    <xf borderId="36" fillId="8" fontId="11" numFmtId="0" xfId="0" applyBorder="1" applyFont="1"/>
    <xf borderId="34" fillId="8" fontId="11" numFmtId="0" xfId="0" applyBorder="1" applyFont="1"/>
    <xf borderId="40" fillId="0" fontId="12" numFmtId="0" xfId="0" applyAlignment="1" applyBorder="1" applyFont="1">
      <alignment horizontal="center"/>
    </xf>
    <xf borderId="51" fillId="0" fontId="12" numFmtId="164" xfId="0" applyBorder="1" applyFont="1" applyNumberFormat="1"/>
    <xf borderId="40" fillId="0" fontId="11" numFmtId="0" xfId="0" applyBorder="1" applyFont="1"/>
    <xf borderId="40" fillId="4" fontId="12" numFmtId="0" xfId="0" applyBorder="1" applyFont="1"/>
    <xf borderId="38" fillId="7" fontId="12" numFmtId="0" xfId="0" applyBorder="1" applyFont="1"/>
    <xf borderId="40" fillId="0" fontId="12" numFmtId="0" xfId="0" applyAlignment="1" applyBorder="1" applyFont="1">
      <alignment horizontal="right" readingOrder="0"/>
    </xf>
    <xf borderId="40" fillId="6" fontId="12" numFmtId="0" xfId="0" applyAlignment="1" applyBorder="1" applyFont="1">
      <alignment readingOrder="0"/>
    </xf>
    <xf borderId="38" fillId="8" fontId="12" numFmtId="0" xfId="0" applyAlignment="1" applyBorder="1" applyFont="1">
      <alignment readingOrder="0"/>
    </xf>
    <xf borderId="40" fillId="8" fontId="13" numFmtId="0" xfId="0" applyBorder="1" applyFont="1"/>
    <xf borderId="47" fillId="0" fontId="14" numFmtId="0" xfId="0" applyAlignment="1" applyBorder="1" applyFont="1">
      <alignment horizontal="center"/>
    </xf>
    <xf borderId="29" fillId="0" fontId="19" numFmtId="0" xfId="0" applyAlignment="1" applyBorder="1" applyFont="1">
      <alignment horizontal="right" readingOrder="0"/>
    </xf>
    <xf borderId="31" fillId="6" fontId="11" numFmtId="0" xfId="0" applyAlignment="1" applyBorder="1" applyFont="1">
      <alignment readingOrder="0"/>
    </xf>
    <xf borderId="31" fillId="8" fontId="12" numFmtId="0" xfId="0" applyBorder="1" applyFont="1"/>
    <xf borderId="29" fillId="8" fontId="13" numFmtId="0" xfId="0" applyBorder="1" applyFont="1"/>
    <xf borderId="40" fillId="9" fontId="5" numFmtId="0" xfId="0" applyAlignment="1" applyBorder="1" applyFill="1" applyFont="1">
      <alignment readingOrder="0"/>
    </xf>
    <xf borderId="40" fillId="0" fontId="5" numFmtId="0" xfId="0" applyBorder="1" applyFont="1"/>
    <xf borderId="34" fillId="6" fontId="12" numFmtId="0" xfId="0" applyAlignment="1" applyBorder="1" applyFont="1">
      <alignment readingOrder="0"/>
    </xf>
    <xf borderId="36" fillId="8" fontId="12" numFmtId="0" xfId="0" applyBorder="1" applyFont="1"/>
    <xf borderId="24" fillId="8" fontId="11" numFmtId="0" xfId="0" applyBorder="1" applyFont="1"/>
    <xf borderId="22" fillId="8" fontId="11" numFmtId="0" xfId="0" applyBorder="1" applyFont="1"/>
    <xf borderId="29" fillId="0" fontId="12" numFmtId="0" xfId="0" applyAlignment="1" applyBorder="1" applyFont="1">
      <alignment horizontal="right" readingOrder="0"/>
    </xf>
    <xf borderId="29" fillId="6" fontId="12" numFmtId="0" xfId="0" applyAlignment="1" applyBorder="1" applyFont="1">
      <alignment readingOrder="0"/>
    </xf>
    <xf borderId="31" fillId="6" fontId="11" numFmtId="0" xfId="0" applyBorder="1" applyFont="1"/>
    <xf borderId="36" fillId="0" fontId="11" numFmtId="0" xfId="0" applyBorder="1" applyFont="1"/>
    <xf borderId="36" fillId="6" fontId="11" numFmtId="0" xfId="0" applyAlignment="1" applyBorder="1" applyFont="1">
      <alignment readingOrder="0"/>
    </xf>
    <xf borderId="34" fillId="8" fontId="12" numFmtId="0" xfId="0" applyBorder="1" applyFont="1"/>
    <xf borderId="22" fillId="0" fontId="15" numFmtId="0" xfId="0" applyBorder="1" applyFont="1"/>
    <xf borderId="22" fillId="6" fontId="11" numFmtId="0" xfId="0" applyBorder="1" applyFont="1"/>
    <xf borderId="24" fillId="8" fontId="12" numFmtId="0" xfId="0" applyBorder="1" applyFont="1"/>
    <xf borderId="39" fillId="0" fontId="18" numFmtId="0" xfId="0" applyAlignment="1" applyBorder="1" applyFont="1">
      <alignment horizontal="center"/>
    </xf>
    <xf borderId="36" fillId="8" fontId="12" numFmtId="0" xfId="0" applyAlignment="1" applyBorder="1" applyFont="1">
      <alignment readingOrder="0"/>
    </xf>
    <xf borderId="38" fillId="8" fontId="12" numFmtId="0" xfId="0" applyBorder="1" applyFont="1"/>
    <xf borderId="29" fillId="6" fontId="11" numFmtId="0" xfId="0" applyBorder="1" applyFont="1"/>
    <xf borderId="52" fillId="0" fontId="11" numFmtId="0" xfId="0" applyAlignment="1" applyBorder="1" applyFont="1">
      <alignment shrinkToFit="0" vertical="center" wrapText="1"/>
    </xf>
    <xf borderId="34" fillId="0" fontId="19" numFmtId="0" xfId="0" applyAlignment="1" applyBorder="1" applyFont="1">
      <alignment horizontal="right" readingOrder="0"/>
    </xf>
    <xf borderId="36" fillId="6" fontId="11" numFmtId="0" xfId="0" applyBorder="1" applyFont="1"/>
    <xf borderId="53" fillId="0" fontId="11" numFmtId="0" xfId="0" applyBorder="1" applyFont="1"/>
    <xf borderId="24" fillId="6" fontId="11" numFmtId="0" xfId="0" applyAlignment="1" applyBorder="1" applyFont="1">
      <alignment readingOrder="0"/>
    </xf>
    <xf borderId="27" fillId="3" fontId="14" numFmtId="0" xfId="0" applyAlignment="1" applyBorder="1" applyFont="1">
      <alignment horizontal="center"/>
    </xf>
    <xf borderId="39" fillId="0" fontId="14" numFmtId="0" xfId="0" applyAlignment="1" applyBorder="1" applyFont="1">
      <alignment horizontal="center" readingOrder="0"/>
    </xf>
    <xf borderId="39" fillId="0" fontId="18" numFmtId="0" xfId="0" applyAlignment="1" applyBorder="1" applyFont="1">
      <alignment horizontal="center" readingOrder="0"/>
    </xf>
    <xf borderId="54" fillId="0" fontId="12" numFmtId="0" xfId="0" applyAlignment="1" applyBorder="1" applyFont="1">
      <alignment vertical="center"/>
    </xf>
    <xf borderId="34" fillId="0" fontId="12" numFmtId="0" xfId="0" applyAlignment="1" applyBorder="1" applyFont="1">
      <alignment vertical="center"/>
    </xf>
    <xf borderId="43" fillId="0" fontId="12" numFmtId="0" xfId="0" applyAlignment="1" applyBorder="1" applyFont="1">
      <alignment vertical="center"/>
    </xf>
    <xf borderId="46" fillId="3" fontId="14" numFmtId="0" xfId="0" applyAlignment="1" applyBorder="1" applyFont="1">
      <alignment horizontal="center"/>
    </xf>
    <xf borderId="31" fillId="0" fontId="12" numFmtId="0" xfId="0" applyAlignment="1" applyBorder="1" applyFont="1">
      <alignment readingOrder="0"/>
    </xf>
    <xf borderId="31" fillId="10" fontId="12" numFmtId="0" xfId="0" applyBorder="1" applyFill="1" applyFont="1"/>
    <xf borderId="31" fillId="11" fontId="11" numFmtId="0" xfId="0" applyBorder="1" applyFill="1" applyFont="1"/>
    <xf borderId="30" fillId="3" fontId="14" numFmtId="0" xfId="0" applyAlignment="1" applyBorder="1" applyFont="1">
      <alignment horizontal="center"/>
    </xf>
    <xf borderId="32" fillId="0" fontId="14" numFmtId="0" xfId="0" applyAlignment="1" applyBorder="1" applyFont="1">
      <alignment horizontal="center" readingOrder="0"/>
    </xf>
    <xf borderId="55" fillId="0" fontId="11" numFmtId="0" xfId="0" applyBorder="1" applyFont="1"/>
    <xf borderId="56" fillId="0" fontId="12" numFmtId="0" xfId="0" applyBorder="1" applyFont="1"/>
    <xf borderId="34" fillId="0" fontId="5" numFmtId="0" xfId="0" applyBorder="1" applyFont="1"/>
    <xf borderId="38" fillId="0" fontId="12" numFmtId="0" xfId="0" applyAlignment="1" applyBorder="1" applyFont="1">
      <alignment vertical="center"/>
    </xf>
    <xf borderId="34" fillId="0" fontId="12" numFmtId="0" xfId="0" applyAlignment="1" applyBorder="1" applyFont="1">
      <alignment readingOrder="0"/>
    </xf>
    <xf borderId="36" fillId="5" fontId="12" numFmtId="0" xfId="0" applyAlignment="1" applyBorder="1" applyFont="1">
      <alignment readingOrder="0"/>
    </xf>
    <xf borderId="36" fillId="10" fontId="12" numFmtId="0" xfId="0" applyBorder="1" applyFont="1"/>
    <xf borderId="36" fillId="11" fontId="11" numFmtId="0" xfId="0" applyAlignment="1" applyBorder="1" applyFont="1">
      <alignment readingOrder="0"/>
    </xf>
    <xf borderId="54" fillId="0" fontId="12" numFmtId="0" xfId="0" applyBorder="1" applyFont="1"/>
    <xf borderId="40" fillId="4" fontId="19" numFmtId="0" xfId="0" applyAlignment="1" applyBorder="1" applyFont="1">
      <alignment readingOrder="0"/>
    </xf>
    <xf borderId="38" fillId="8" fontId="20" numFmtId="0" xfId="0" applyAlignment="1" applyBorder="1" applyFont="1">
      <alignment readingOrder="0" vertical="top"/>
    </xf>
    <xf borderId="38" fillId="10" fontId="12" numFmtId="0" xfId="0" applyBorder="1" applyFont="1"/>
    <xf borderId="38" fillId="11" fontId="11" numFmtId="0" xfId="0" applyAlignment="1" applyBorder="1" applyFont="1">
      <alignment readingOrder="0"/>
    </xf>
    <xf borderId="38" fillId="0" fontId="11" numFmtId="0" xfId="0" applyBorder="1" applyFont="1"/>
    <xf borderId="57" fillId="0" fontId="11" numFmtId="0" xfId="0" applyBorder="1" applyFont="1"/>
    <xf borderId="0" fillId="9" fontId="5" numFmtId="0" xfId="0" applyAlignment="1" applyFont="1">
      <alignment readingOrder="0"/>
    </xf>
    <xf borderId="31" fillId="8" fontId="21" numFmtId="0" xfId="0" applyAlignment="1" applyBorder="1" applyFont="1">
      <alignment vertical="top"/>
    </xf>
    <xf borderId="31" fillId="11" fontId="11" numFmtId="0" xfId="0" applyAlignment="1" applyBorder="1" applyFont="1">
      <alignment readingOrder="0"/>
    </xf>
    <xf borderId="29" fillId="9" fontId="5" numFmtId="0" xfId="0" applyAlignment="1" applyBorder="1" applyFont="1">
      <alignment readingOrder="0"/>
    </xf>
    <xf borderId="29" fillId="0" fontId="5" numFmtId="0" xfId="0" applyAlignment="1" applyBorder="1" applyFont="1">
      <alignment readingOrder="0"/>
    </xf>
    <xf borderId="29" fillId="0" fontId="12" numFmtId="0" xfId="0" applyAlignment="1" applyBorder="1" applyFont="1">
      <alignment readingOrder="0"/>
    </xf>
    <xf borderId="31" fillId="5" fontId="12" numFmtId="0" xfId="0" applyAlignment="1" applyBorder="1" applyFont="1">
      <alignment readingOrder="0"/>
    </xf>
    <xf borderId="31" fillId="0" fontId="19" numFmtId="0" xfId="0" applyBorder="1" applyFont="1"/>
    <xf borderId="31" fillId="10" fontId="12" numFmtId="0" xfId="0" applyAlignment="1" applyBorder="1" applyFont="1">
      <alignment readingOrder="0"/>
    </xf>
    <xf borderId="41" fillId="11" fontId="11" numFmtId="0" xfId="0" applyBorder="1" applyFont="1"/>
    <xf borderId="0" fillId="11" fontId="11" numFmtId="0" xfId="0" applyFont="1"/>
    <xf borderId="28" fillId="2" fontId="12" numFmtId="167" xfId="0" applyAlignment="1" applyBorder="1" applyFont="1" applyNumberFormat="1">
      <alignment horizontal="center"/>
    </xf>
    <xf borderId="36" fillId="11" fontId="11" numFmtId="0" xfId="0" applyBorder="1" applyFont="1"/>
    <xf borderId="38" fillId="0" fontId="12" numFmtId="0" xfId="0" applyAlignment="1" applyBorder="1" applyFont="1">
      <alignment readingOrder="0"/>
    </xf>
    <xf borderId="38" fillId="11" fontId="11" numFmtId="0" xfId="0" applyBorder="1" applyFont="1"/>
    <xf borderId="57" fillId="0" fontId="12" numFmtId="0" xfId="0" applyBorder="1" applyFont="1"/>
    <xf borderId="42" fillId="3" fontId="14" numFmtId="4" xfId="0" applyAlignment="1" applyBorder="1" applyFont="1" applyNumberFormat="1">
      <alignment horizontal="center"/>
    </xf>
    <xf borderId="58" fillId="3" fontId="14" numFmtId="0" xfId="0" applyAlignment="1" applyBorder="1" applyFont="1">
      <alignment horizontal="center"/>
    </xf>
    <xf borderId="36" fillId="3" fontId="14" numFmtId="0" xfId="0" applyAlignment="1" applyBorder="1" applyFont="1">
      <alignment horizontal="center"/>
    </xf>
    <xf borderId="38" fillId="7" fontId="12" numFmtId="0" xfId="0" applyAlignment="1" applyBorder="1" applyFont="1">
      <alignment readingOrder="0"/>
    </xf>
    <xf borderId="38" fillId="8" fontId="11" numFmtId="0" xfId="0" applyBorder="1" applyFont="1"/>
    <xf borderId="38" fillId="10" fontId="12" numFmtId="0" xfId="0" applyAlignment="1" applyBorder="1" applyFont="1">
      <alignment readingOrder="0"/>
    </xf>
    <xf borderId="38" fillId="11" fontId="12" numFmtId="0" xfId="0" applyAlignment="1" applyBorder="1" applyFont="1">
      <alignment readingOrder="0"/>
    </xf>
    <xf borderId="38" fillId="11" fontId="12" numFmtId="0" xfId="0" applyBorder="1" applyFont="1"/>
    <xf borderId="57" fillId="11" fontId="12" numFmtId="0" xfId="0" applyBorder="1" applyFont="1"/>
    <xf borderId="0" fillId="11" fontId="12" numFmtId="0" xfId="0" applyFont="1"/>
    <xf borderId="59" fillId="3" fontId="14" numFmtId="0" xfId="0" applyAlignment="1" applyBorder="1" applyFont="1">
      <alignment horizontal="center"/>
    </xf>
    <xf borderId="38" fillId="3" fontId="14" numFmtId="0" xfId="0" applyAlignment="1" applyBorder="1" applyFont="1">
      <alignment horizontal="center"/>
    </xf>
    <xf borderId="29" fillId="4" fontId="11" numFmtId="0" xfId="0" applyBorder="1" applyFont="1"/>
    <xf borderId="31" fillId="5" fontId="11" numFmtId="0" xfId="0" applyBorder="1" applyFont="1"/>
    <xf borderId="29" fillId="4" fontId="15" numFmtId="0" xfId="0" applyAlignment="1" applyBorder="1" applyFont="1">
      <alignment readingOrder="0"/>
    </xf>
    <xf borderId="41" fillId="0" fontId="11" numFmtId="0" xfId="0" applyBorder="1" applyFont="1"/>
    <xf borderId="32" fillId="3" fontId="20" numFmtId="0" xfId="0" applyAlignment="1" applyBorder="1" applyFont="1">
      <alignment horizontal="center"/>
    </xf>
    <xf borderId="37" fillId="3" fontId="20" numFmtId="0" xfId="0" applyAlignment="1" applyBorder="1" applyFont="1">
      <alignment horizontal="center"/>
    </xf>
    <xf borderId="37" fillId="0" fontId="20" numFmtId="0" xfId="0" applyAlignment="1" applyBorder="1" applyFont="1">
      <alignment horizontal="center"/>
    </xf>
    <xf borderId="40" fillId="4" fontId="11" numFmtId="0" xfId="0" applyBorder="1" applyFont="1"/>
    <xf borderId="40" fillId="8" fontId="5" numFmtId="0" xfId="0" applyBorder="1" applyFont="1"/>
    <xf borderId="47" fillId="2" fontId="22" numFmtId="0" xfId="0" applyAlignment="1" applyBorder="1" applyFont="1">
      <alignment horizontal="center"/>
    </xf>
    <xf borderId="31" fillId="0" fontId="23" numFmtId="0" xfId="0" applyBorder="1" applyFont="1"/>
    <xf borderId="31" fillId="7" fontId="12" numFmtId="0" xfId="0" applyBorder="1" applyFont="1"/>
    <xf borderId="31" fillId="11" fontId="12" numFmtId="0" xfId="0" applyAlignment="1" applyBorder="1" applyFont="1">
      <alignment readingOrder="0"/>
    </xf>
    <xf borderId="31" fillId="11" fontId="12" numFmtId="0" xfId="0" applyBorder="1" applyFont="1"/>
    <xf borderId="41" fillId="11" fontId="12" numFmtId="0" xfId="0" applyBorder="1" applyFont="1"/>
    <xf borderId="31" fillId="8" fontId="7" numFmtId="0" xfId="0" applyBorder="1" applyFont="1"/>
    <xf borderId="32" fillId="2" fontId="22" numFmtId="4" xfId="0" applyAlignment="1" applyBorder="1" applyFont="1" applyNumberFormat="1">
      <alignment horizontal="center"/>
    </xf>
    <xf borderId="34" fillId="4" fontId="5" numFmtId="0" xfId="0" applyBorder="1" applyFont="1"/>
    <xf borderId="36" fillId="0" fontId="23" numFmtId="0" xfId="0" applyBorder="1" applyFont="1"/>
    <xf borderId="36" fillId="8" fontId="19" numFmtId="0" xfId="0" applyBorder="1" applyFont="1"/>
    <xf borderId="34" fillId="8" fontId="19" numFmtId="0" xfId="0" applyBorder="1" applyFont="1"/>
    <xf borderId="34" fillId="8" fontId="12" numFmtId="0" xfId="0" applyAlignment="1" applyBorder="1" applyFont="1">
      <alignment readingOrder="0"/>
    </xf>
    <xf borderId="37" fillId="2" fontId="22" numFmtId="0" xfId="0" applyAlignment="1" applyBorder="1" applyFont="1">
      <alignment horizontal="center" readingOrder="0"/>
    </xf>
    <xf borderId="38" fillId="0" fontId="23" numFmtId="0" xfId="0" applyBorder="1" applyFont="1"/>
    <xf borderId="38" fillId="8" fontId="19" numFmtId="0" xfId="0" applyAlignment="1" applyBorder="1" applyFont="1">
      <alignment readingOrder="0"/>
    </xf>
    <xf borderId="38" fillId="0" fontId="19" numFmtId="0" xfId="0" applyBorder="1" applyFont="1"/>
    <xf borderId="57" fillId="11" fontId="11" numFmtId="0" xfId="0" applyBorder="1" applyFont="1"/>
    <xf borderId="40" fillId="11" fontId="12" numFmtId="0" xfId="0" applyBorder="1" applyFont="1"/>
    <xf borderId="40" fillId="9" fontId="5" numFmtId="0" xfId="0" applyBorder="1" applyFont="1"/>
    <xf borderId="47" fillId="2" fontId="22" numFmtId="4" xfId="0" applyAlignment="1" applyBorder="1" applyFont="1" applyNumberFormat="1">
      <alignment horizontal="center"/>
    </xf>
    <xf borderId="31" fillId="8" fontId="19" numFmtId="0" xfId="0" applyAlignment="1" applyBorder="1" applyFont="1">
      <alignment readingOrder="0" vertical="top"/>
    </xf>
    <xf borderId="29" fillId="11" fontId="12" numFmtId="0" xfId="0" applyBorder="1" applyFont="1"/>
    <xf borderId="29" fillId="9" fontId="5" numFmtId="0" xfId="0" applyBorder="1" applyFont="1"/>
    <xf borderId="32" fillId="2" fontId="22" numFmtId="0" xfId="0" applyAlignment="1" applyBorder="1" applyFont="1">
      <alignment horizontal="center" readingOrder="0"/>
    </xf>
    <xf borderId="29" fillId="0" fontId="23" numFmtId="0" xfId="0" applyBorder="1" applyFont="1"/>
    <xf borderId="31" fillId="8" fontId="19" numFmtId="0" xfId="0" applyBorder="1" applyFont="1"/>
    <xf borderId="29" fillId="9" fontId="24" numFmtId="0" xfId="0" applyAlignment="1" applyBorder="1" applyFont="1">
      <alignment readingOrder="0"/>
    </xf>
    <xf borderId="29" fillId="9" fontId="24" numFmtId="0" xfId="0" applyBorder="1" applyFont="1"/>
    <xf borderId="29" fillId="9" fontId="12" numFmtId="0" xfId="0" applyBorder="1" applyFont="1"/>
    <xf borderId="32" fillId="0" fontId="22" numFmtId="4" xfId="0" applyAlignment="1" applyBorder="1" applyFont="1" applyNumberFormat="1">
      <alignment horizontal="center"/>
    </xf>
    <xf borderId="60" fillId="2" fontId="22" numFmtId="4" xfId="0" applyAlignment="1" applyBorder="1" applyFont="1" applyNumberFormat="1">
      <alignment horizontal="center"/>
    </xf>
    <xf borderId="9" fillId="0" fontId="12" numFmtId="166" xfId="0" applyAlignment="1" applyBorder="1" applyFont="1" applyNumberFormat="1">
      <alignment horizontal="center"/>
    </xf>
    <xf borderId="36" fillId="11" fontId="12" numFmtId="0" xfId="0" applyBorder="1" applyFont="1"/>
    <xf borderId="54" fillId="11" fontId="12" numFmtId="0" xfId="0" applyBorder="1" applyFont="1"/>
    <xf borderId="34" fillId="11" fontId="12" numFmtId="0" xfId="0" applyBorder="1" applyFont="1"/>
    <xf borderId="37" fillId="0" fontId="22" numFmtId="0" xfId="0" applyAlignment="1" applyBorder="1" applyFont="1">
      <alignment horizontal="center"/>
    </xf>
    <xf borderId="58" fillId="2" fontId="22" numFmtId="0" xfId="0" applyAlignment="1" applyBorder="1" applyFont="1">
      <alignment horizontal="center"/>
    </xf>
    <xf borderId="38" fillId="8" fontId="19" numFmtId="0" xfId="0" applyBorder="1" applyFont="1"/>
    <xf borderId="22" fillId="11" fontId="12" numFmtId="0" xfId="0" applyBorder="1" applyFont="1"/>
    <xf borderId="47" fillId="0" fontId="18" numFmtId="0" xfId="0" applyAlignment="1" applyBorder="1" applyFont="1">
      <alignment horizontal="center" readingOrder="0"/>
    </xf>
    <xf borderId="9" fillId="0" fontId="12" numFmtId="0" xfId="0" applyAlignment="1" applyBorder="1" applyFont="1">
      <alignment horizontal="center"/>
    </xf>
    <xf borderId="57" fillId="3" fontId="14" numFmtId="0" xfId="0" applyAlignment="1" applyBorder="1" applyFont="1">
      <alignment horizontal="center"/>
    </xf>
    <xf borderId="51" fillId="0" fontId="14" numFmtId="0" xfId="0" applyAlignment="1" applyBorder="1" applyFont="1">
      <alignment horizontal="center"/>
    </xf>
    <xf borderId="61" fillId="0" fontId="14" numFmtId="0" xfId="0" applyAlignment="1" applyBorder="1" applyFont="1">
      <alignment horizontal="center"/>
    </xf>
    <xf borderId="36" fillId="0" fontId="19" numFmtId="0" xfId="0" applyBorder="1" applyFont="1"/>
    <xf borderId="36" fillId="12" fontId="12" numFmtId="0" xfId="0" applyAlignment="1" applyBorder="1" applyFill="1" applyFont="1">
      <alignment readingOrder="0"/>
    </xf>
    <xf borderId="36" fillId="12" fontId="19" numFmtId="0" xfId="0" applyBorder="1" applyFont="1"/>
    <xf borderId="54" fillId="12" fontId="19" numFmtId="0" xfId="0" applyBorder="1" applyFont="1"/>
    <xf borderId="34" fillId="12" fontId="12" numFmtId="0" xfId="0" applyAlignment="1" applyBorder="1" applyFont="1">
      <alignment readingOrder="0"/>
    </xf>
    <xf borderId="54" fillId="3" fontId="14" numFmtId="0" xfId="0" applyAlignment="1" applyBorder="1" applyFont="1">
      <alignment horizontal="center"/>
    </xf>
    <xf borderId="62" fillId="0" fontId="14" numFmtId="0" xfId="0" applyAlignment="1" applyBorder="1" applyFont="1">
      <alignment horizontal="center"/>
    </xf>
    <xf borderId="38" fillId="12" fontId="12" numFmtId="0" xfId="0" applyAlignment="1" applyBorder="1" applyFont="1">
      <alignment readingOrder="0"/>
    </xf>
    <xf borderId="38" fillId="12" fontId="12" numFmtId="0" xfId="0" applyBorder="1" applyFont="1"/>
    <xf borderId="57" fillId="12" fontId="12" numFmtId="0" xfId="0" applyBorder="1" applyFont="1"/>
    <xf borderId="22" fillId="12" fontId="12" numFmtId="0" xfId="0" applyAlignment="1" applyBorder="1" applyFont="1">
      <alignment readingOrder="0"/>
    </xf>
    <xf borderId="31" fillId="12" fontId="12" numFmtId="0" xfId="0" applyBorder="1" applyFont="1"/>
    <xf borderId="41" fillId="12" fontId="12" numFmtId="0" xfId="0" applyBorder="1" applyFont="1"/>
    <xf borderId="29" fillId="12" fontId="12" numFmtId="0" xfId="0" applyAlignment="1" applyBorder="1" applyFont="1">
      <alignment readingOrder="0"/>
    </xf>
    <xf borderId="31" fillId="12" fontId="12" numFmtId="0" xfId="0" applyAlignment="1" applyBorder="1" applyFont="1">
      <alignment readingOrder="0"/>
    </xf>
    <xf borderId="34" fillId="9" fontId="12" numFmtId="0" xfId="0" applyAlignment="1" applyBorder="1" applyFont="1">
      <alignment readingOrder="0"/>
    </xf>
    <xf borderId="34" fillId="9" fontId="12" numFmtId="0" xfId="0" applyBorder="1" applyFont="1"/>
    <xf borderId="37" fillId="2" fontId="22" numFmtId="4" xfId="0" applyAlignment="1" applyBorder="1" applyFont="1" applyNumberFormat="1">
      <alignment horizontal="center"/>
    </xf>
    <xf borderId="0" fillId="0" fontId="11" numFmtId="0" xfId="0" applyFont="1"/>
    <xf borderId="0" fillId="0" fontId="12" numFmtId="0" xfId="0" applyAlignment="1" applyFont="1">
      <alignment horizontal="center"/>
    </xf>
    <xf borderId="18" fillId="0" fontId="11" numFmtId="0" xfId="0" applyBorder="1" applyFont="1"/>
    <xf borderId="0" fillId="9" fontId="11" numFmtId="0" xfId="0" applyAlignment="1" applyFont="1">
      <alignment readingOrder="0"/>
    </xf>
    <xf borderId="0" fillId="9" fontId="11" numFmtId="0" xfId="0" applyFont="1"/>
    <xf borderId="28" fillId="2" fontId="22" numFmtId="0" xfId="0" applyAlignment="1" applyBorder="1" applyFont="1">
      <alignment horizontal="center" readingOrder="0"/>
    </xf>
    <xf borderId="0" fillId="0" fontId="22" numFmtId="4" xfId="0" applyAlignment="1" applyFont="1" applyNumberFormat="1">
      <alignment horizontal="center"/>
    </xf>
    <xf borderId="0" fillId="0" fontId="25" numFmtId="0" xfId="0" applyFont="1"/>
    <xf borderId="0" fillId="0" fontId="22" numFmtId="0" xfId="0" applyAlignment="1" applyFont="1">
      <alignment horizontal="center"/>
    </xf>
    <xf borderId="0" fillId="0" fontId="7" numFmtId="0" xfId="0" applyAlignment="1" applyFont="1">
      <alignment horizontal="right"/>
    </xf>
    <xf borderId="0" fillId="0" fontId="5" numFmtId="0" xfId="0" applyAlignment="1" applyFont="1">
      <alignment readingOrder="0" shrinkToFit="0" vertical="center" wrapText="1"/>
    </xf>
    <xf borderId="0" fillId="0" fontId="26" numFmtId="0" xfId="0" applyAlignment="1" applyFont="1">
      <alignment horizontal="right" readingOrder="0"/>
    </xf>
    <xf borderId="0" fillId="0" fontId="26" numFmtId="3" xfId="0" applyFont="1" applyNumberFormat="1"/>
    <xf borderId="0" fillId="0" fontId="26" numFmtId="0" xfId="0" applyFont="1"/>
    <xf borderId="0" fillId="0" fontId="27" numFmtId="0" xfId="0" applyAlignment="1" applyFont="1">
      <alignment horizontal="center" readingOrder="0"/>
    </xf>
    <xf borderId="0" fillId="0" fontId="28" numFmtId="0" xfId="0" applyAlignment="1" applyFont="1">
      <alignment horizontal="center" readingOrder="0"/>
    </xf>
    <xf borderId="19" fillId="0" fontId="28" numFmtId="0" xfId="0" applyAlignment="1" applyBorder="1" applyFont="1">
      <alignment horizontal="center" readingOrder="0"/>
    </xf>
    <xf borderId="18" fillId="0" fontId="9" numFmtId="0" xfId="0" applyBorder="1" applyFont="1"/>
    <xf borderId="63" fillId="0" fontId="9" numFmtId="0" xfId="0" applyBorder="1" applyFont="1"/>
    <xf borderId="0" fillId="0" fontId="29" numFmtId="0" xfId="0" applyAlignment="1" applyFont="1">
      <alignment readingOrder="0" shrinkToFit="0" vertical="top" wrapText="1"/>
    </xf>
    <xf borderId="0" fillId="0" fontId="29" numFmtId="0" xfId="0" applyAlignment="1" applyFont="1">
      <alignment readingOrder="0" shrinkToFit="0" vertical="center" wrapText="1"/>
    </xf>
    <xf borderId="3" fillId="0" fontId="30" numFmtId="0" xfId="0" applyAlignment="1" applyBorder="1" applyFont="1">
      <alignment horizontal="center" readingOrder="0"/>
    </xf>
    <xf borderId="16" fillId="0" fontId="26" numFmtId="0" xfId="0" applyAlignment="1" applyBorder="1" applyFont="1">
      <alignment horizontal="center" readingOrder="0"/>
    </xf>
    <xf borderId="16" fillId="0" fontId="27" numFmtId="0" xfId="0" applyAlignment="1" applyBorder="1" applyFont="1">
      <alignment horizontal="center" readingOrder="0"/>
    </xf>
    <xf borderId="9" fillId="0" fontId="5" numFmtId="0" xfId="0" applyAlignment="1" applyBorder="1" applyFont="1">
      <alignment readingOrder="0"/>
    </xf>
    <xf borderId="9" fillId="0" fontId="31" numFmtId="0" xfId="0" applyAlignment="1" applyBorder="1" applyFont="1">
      <alignment horizontal="right" readingOrder="0"/>
    </xf>
    <xf borderId="9" fillId="0" fontId="31" numFmtId="0" xfId="0" applyAlignment="1" applyBorder="1" applyFont="1">
      <alignment readingOrder="0"/>
    </xf>
    <xf borderId="16" fillId="0" fontId="5" numFmtId="0" xfId="0" applyAlignment="1" applyBorder="1" applyFont="1">
      <alignment readingOrder="0"/>
    </xf>
    <xf borderId="16" fillId="0" fontId="31" numFmtId="0" xfId="0" applyAlignment="1" applyBorder="1" applyFont="1">
      <alignment horizontal="right" readingOrder="0"/>
    </xf>
    <xf borderId="16" fillId="0" fontId="31" numFmtId="0" xfId="0" applyAlignment="1" applyBorder="1" applyFont="1">
      <alignment readingOrder="0"/>
    </xf>
    <xf borderId="16" fillId="0" fontId="5" numFmtId="0" xfId="0" applyBorder="1" applyFont="1"/>
    <xf borderId="16" fillId="0" fontId="31" numFmtId="0" xfId="0" applyBorder="1" applyFont="1"/>
    <xf borderId="16" fillId="0" fontId="31" numFmtId="0" xfId="0" applyAlignment="1" applyBorder="1" applyFont="1">
      <alignment horizontal="right"/>
    </xf>
    <xf borderId="0" fillId="0" fontId="32" numFmtId="0" xfId="0" applyAlignment="1" applyFont="1">
      <alignment readingOrder="0"/>
    </xf>
    <xf borderId="16" fillId="0" fontId="32" numFmtId="0" xfId="0" applyAlignment="1" applyBorder="1" applyFont="1">
      <alignment readingOrder="0"/>
    </xf>
    <xf borderId="16" fillId="0" fontId="33" numFmtId="0" xfId="0" applyAlignment="1" applyBorder="1" applyFont="1">
      <alignment horizontal="right" readingOrder="0"/>
    </xf>
    <xf borderId="16" fillId="0" fontId="33" numFmtId="0" xfId="0" applyAlignment="1" applyBorder="1" applyFont="1">
      <alignment readingOrder="0"/>
    </xf>
    <xf borderId="0" fillId="0" fontId="32" numFmtId="0" xfId="0" applyFont="1"/>
    <xf borderId="16" fillId="0" fontId="27" numFmtId="0" xfId="0" applyAlignment="1" applyBorder="1" applyFont="1">
      <alignment horizontal="right"/>
    </xf>
    <xf borderId="16" fillId="0" fontId="27" numFmtId="0" xfId="0" applyBorder="1" applyFont="1"/>
    <xf borderId="16" fillId="0" fontId="34" numFmtId="2" xfId="0" applyAlignment="1" applyBorder="1" applyFont="1" applyNumberFormat="1">
      <alignment horizontal="right"/>
    </xf>
    <xf borderId="16" fillId="0" fontId="34" numFmtId="0" xfId="0" applyBorder="1" applyFont="1"/>
    <xf borderId="16" fillId="0" fontId="27" numFmtId="2" xfId="0" applyAlignment="1" applyBorder="1" applyFont="1" applyNumberFormat="1">
      <alignment horizontal="right"/>
    </xf>
    <xf borderId="16" fillId="0" fontId="31" numFmtId="0" xfId="0" applyAlignment="1" applyBorder="1" applyFont="1">
      <alignment horizontal="left"/>
    </xf>
    <xf borderId="16" fillId="0" fontId="31" numFmtId="168" xfId="0" applyAlignment="1" applyBorder="1" applyFont="1" applyNumberFormat="1">
      <alignment horizontal="right" readingOrder="0"/>
    </xf>
    <xf borderId="16" fillId="0" fontId="31" numFmtId="3" xfId="0" applyAlignment="1" applyBorder="1" applyFont="1" applyNumberFormat="1">
      <alignment horizontal="right" readingOrder="0"/>
    </xf>
    <xf borderId="16" fillId="0" fontId="31" numFmtId="168" xfId="0" applyAlignment="1" applyBorder="1" applyFont="1" applyNumberFormat="1">
      <alignment horizontal="right"/>
    </xf>
    <xf borderId="16" fillId="0" fontId="31" numFmtId="10" xfId="0" applyBorder="1" applyFont="1" applyNumberFormat="1"/>
    <xf borderId="16" fillId="0" fontId="27" numFmtId="0" xfId="0" applyAlignment="1" applyBorder="1" applyFont="1">
      <alignment readingOrder="0"/>
    </xf>
    <xf borderId="0" fillId="0" fontId="31" numFmtId="0" xfId="0" applyAlignment="1" applyFont="1">
      <alignment horizontal="left"/>
    </xf>
    <xf borderId="0" fillId="0" fontId="31" numFmtId="0" xfId="0" applyAlignment="1" applyFont="1">
      <alignment horizontal="left" readingOrder="0" shrinkToFit="0" vertical="center" wrapText="1"/>
    </xf>
    <xf borderId="0" fillId="0" fontId="35" numFmtId="0" xfId="0" applyFont="1"/>
    <xf borderId="0" fillId="0" fontId="27" numFmtId="0" xfId="0" applyAlignment="1" applyFont="1">
      <alignment readingOrder="0" shrinkToFit="0" vertical="bottom" wrapText="1"/>
    </xf>
    <xf borderId="0" fillId="0" fontId="36" numFmtId="0" xfId="0" applyAlignment="1" applyFont="1">
      <alignment horizontal="center" readingOrder="0" vertical="center"/>
    </xf>
    <xf borderId="0" fillId="0" fontId="37" numFmtId="0" xfId="0" applyAlignment="1" applyFont="1">
      <alignment horizontal="center" readingOrder="0" vertical="center"/>
    </xf>
    <xf borderId="0" fillId="0" fontId="37" numFmtId="0" xfId="0" applyAlignment="1" applyFont="1">
      <alignment horizontal="left" readingOrder="0" shrinkToFit="0" vertical="center" wrapText="0"/>
    </xf>
    <xf borderId="0" fillId="0" fontId="37" numFmtId="0" xfId="0" applyAlignment="1" applyFont="1">
      <alignment horizontal="left" readingOrder="0" shrinkToFit="0" vertical="center" wrapText="1"/>
    </xf>
    <xf borderId="0" fillId="0" fontId="31" numFmtId="0" xfId="0" applyAlignment="1" applyFont="1">
      <alignment readingOrder="0" vertical="bottom"/>
    </xf>
    <xf borderId="0" fillId="0" fontId="31" numFmtId="0" xfId="0" applyAlignment="1" applyFont="1">
      <alignment vertical="bottom"/>
    </xf>
    <xf borderId="0" fillId="0" fontId="33" numFmtId="0" xfId="0" applyAlignment="1" applyFont="1">
      <alignment horizontal="left" readingOrder="0" shrinkToFit="0" vertical="center" wrapText="1"/>
    </xf>
    <xf borderId="64" fillId="13" fontId="27" numFmtId="169" xfId="0" applyAlignment="1" applyBorder="1" applyFill="1" applyFont="1" applyNumberFormat="1">
      <alignment horizontal="center" readingOrder="0" vertical="center"/>
    </xf>
    <xf borderId="65" fillId="13" fontId="27" numFmtId="4" xfId="0" applyAlignment="1" applyBorder="1" applyFont="1" applyNumberFormat="1">
      <alignment horizontal="center" readingOrder="0" vertical="center"/>
    </xf>
    <xf borderId="65" fillId="13" fontId="38" numFmtId="3" xfId="0" applyAlignment="1" applyBorder="1" applyFont="1" applyNumberFormat="1">
      <alignment horizontal="center" readingOrder="0" vertical="center"/>
    </xf>
    <xf borderId="66" fillId="13" fontId="27" numFmtId="169" xfId="0" applyAlignment="1" applyBorder="1" applyFont="1" applyNumberFormat="1">
      <alignment horizontal="center" vertical="center"/>
    </xf>
    <xf borderId="66" fillId="13" fontId="27" numFmtId="3" xfId="0" applyAlignment="1" applyBorder="1" applyFont="1" applyNumberFormat="1">
      <alignment horizontal="center" vertical="center"/>
    </xf>
    <xf borderId="65" fillId="13" fontId="27" numFmtId="3" xfId="0" applyAlignment="1" applyBorder="1" applyFont="1" applyNumberFormat="1">
      <alignment horizontal="center" readingOrder="0" vertical="center"/>
    </xf>
    <xf borderId="67" fillId="13" fontId="27" numFmtId="3" xfId="0" applyAlignment="1" applyBorder="1" applyFont="1" applyNumberFormat="1">
      <alignment horizontal="center" vertical="center"/>
    </xf>
    <xf borderId="67" fillId="13" fontId="27" numFmtId="169" xfId="0" applyAlignment="1" applyBorder="1" applyFont="1" applyNumberFormat="1">
      <alignment horizontal="center" vertical="center"/>
    </xf>
    <xf borderId="0" fillId="0" fontId="27" numFmtId="0" xfId="0" applyAlignment="1" applyFont="1">
      <alignment horizontal="center"/>
    </xf>
    <xf borderId="0" fillId="0" fontId="39" numFmtId="38" xfId="0" applyAlignment="1" applyFont="1" applyNumberFormat="1">
      <alignment readingOrder="0"/>
    </xf>
    <xf borderId="0" fillId="0" fontId="6" numFmtId="0" xfId="0" applyAlignment="1" applyFont="1">
      <alignment horizontal="center" vertical="center"/>
    </xf>
    <xf borderId="0" fillId="0" fontId="31" numFmtId="38" xfId="0" applyAlignment="1" applyFont="1" applyNumberFormat="1">
      <alignment vertical="bottom"/>
    </xf>
    <xf borderId="0" fillId="0" fontId="40" numFmtId="0" xfId="0" applyAlignment="1" applyFont="1">
      <alignment readingOrder="0"/>
    </xf>
    <xf borderId="0" fillId="0" fontId="41" numFmtId="0" xfId="0" applyFont="1"/>
    <xf borderId="0" fillId="0" fontId="31" numFmtId="38" xfId="0" applyFont="1" applyNumberFormat="1"/>
    <xf borderId="0" fillId="0" fontId="27" numFmtId="0" xfId="0" applyAlignment="1" applyFont="1">
      <alignment horizontal="center" readingOrder="0" vertical="center"/>
    </xf>
    <xf borderId="0" fillId="0" fontId="27" numFmtId="0" xfId="0" applyAlignment="1" applyFont="1">
      <alignment horizontal="center" vertical="center"/>
    </xf>
    <xf borderId="0" fillId="0" fontId="27" numFmtId="3" xfId="0" applyAlignment="1" applyFont="1" applyNumberFormat="1">
      <alignment horizontal="center" vertical="center"/>
    </xf>
    <xf borderId="0" fillId="0" fontId="27" numFmtId="0" xfId="0" applyAlignment="1" applyFont="1">
      <alignment vertical="center"/>
    </xf>
    <xf borderId="0" fillId="0" fontId="31" numFmtId="170" xfId="0" applyAlignment="1" applyFont="1" applyNumberFormat="1">
      <alignment horizontal="center" vertical="center"/>
    </xf>
    <xf borderId="0" fillId="0" fontId="27" numFmtId="0" xfId="0" applyAlignment="1" applyFont="1">
      <alignment horizontal="right" vertical="center"/>
    </xf>
    <xf borderId="0" fillId="0" fontId="5" numFmtId="3" xfId="0" applyAlignment="1" applyFont="1" applyNumberFormat="1">
      <alignment horizontal="center" vertical="center"/>
    </xf>
    <xf borderId="0" fillId="0" fontId="31" numFmtId="3" xfId="0" applyAlignment="1" applyFont="1" applyNumberFormat="1">
      <alignment horizontal="left" vertical="center"/>
    </xf>
    <xf borderId="0" fillId="0" fontId="5" numFmtId="3" xfId="0" applyFont="1" applyNumberFormat="1"/>
    <xf borderId="0" fillId="0" fontId="27" numFmtId="171" xfId="0" applyAlignment="1" applyFont="1" applyNumberFormat="1">
      <alignment horizontal="right" vertical="center"/>
    </xf>
    <xf borderId="0" fillId="0" fontId="31" numFmtId="3" xfId="0" applyAlignment="1" applyFont="1" applyNumberFormat="1">
      <alignment horizontal="center" vertical="center"/>
    </xf>
    <xf borderId="0" fillId="0" fontId="31" numFmtId="3" xfId="0" applyAlignment="1" applyFont="1" applyNumberFormat="1">
      <alignment horizontal="left" readingOrder="0" vertical="center"/>
    </xf>
    <xf borderId="0" fillId="0" fontId="27" numFmtId="171" xfId="0" applyAlignment="1" applyFont="1" applyNumberFormat="1">
      <alignment horizontal="left" vertical="center"/>
    </xf>
    <xf borderId="0" fillId="0" fontId="27" numFmtId="171" xfId="0" applyAlignment="1" applyFont="1" applyNumberFormat="1">
      <alignment horizontal="right" readingOrder="0" vertical="center"/>
    </xf>
    <xf borderId="0" fillId="0" fontId="31" numFmtId="0" xfId="0" applyAlignment="1" applyFont="1">
      <alignment horizontal="left" readingOrder="0" shrinkToFit="0" vertical="center" wrapText="0"/>
    </xf>
    <xf borderId="0" fillId="0" fontId="27" numFmtId="0" xfId="0" applyAlignment="1" applyFont="1">
      <alignment readingOrder="0" vertical="center"/>
    </xf>
    <xf borderId="0" fillId="0" fontId="42" numFmtId="0" xfId="0" applyAlignment="1" applyFont="1">
      <alignment vertical="center"/>
    </xf>
    <xf borderId="0" fillId="0" fontId="31" numFmtId="3" xfId="0" applyAlignment="1" applyFont="1" applyNumberFormat="1">
      <alignment horizontal="center" readingOrder="0" vertical="center"/>
    </xf>
    <xf borderId="0" fillId="0" fontId="31" numFmtId="0" xfId="0" applyAlignment="1" applyFont="1">
      <alignment horizontal="center" vertical="center"/>
    </xf>
    <xf borderId="0" fillId="0" fontId="31" numFmtId="0" xfId="0" applyFont="1"/>
    <xf borderId="0" fillId="0" fontId="31" numFmtId="0" xfId="0" applyAlignment="1" applyFont="1">
      <alignment vertical="center"/>
    </xf>
    <xf borderId="0" fillId="0" fontId="27" numFmtId="171" xfId="0" applyAlignment="1" applyFont="1" applyNumberFormat="1">
      <alignment horizontal="left" readingOrder="0" vertical="center"/>
    </xf>
    <xf borderId="0" fillId="0" fontId="27" numFmtId="0" xfId="0" applyAlignment="1" applyFont="1">
      <alignment horizontal="right" readingOrder="0" vertical="center"/>
    </xf>
    <xf borderId="0" fillId="0" fontId="5" numFmtId="3" xfId="0" applyAlignment="1" applyFont="1" applyNumberFormat="1">
      <alignment horizontal="center" readingOrder="0" vertical="center"/>
    </xf>
    <xf borderId="0" fillId="0" fontId="31" numFmtId="0" xfId="0" applyAlignment="1" applyFont="1">
      <alignment readingOrder="0" vertical="center"/>
    </xf>
    <xf borderId="0" fillId="0" fontId="5" numFmtId="3" xfId="0" applyAlignment="1" applyFont="1" applyNumberFormat="1">
      <alignment horizontal="center"/>
    </xf>
    <xf borderId="0" fillId="0" fontId="5" numFmtId="3" xfId="0" applyAlignment="1" applyFont="1" applyNumberFormat="1">
      <alignment horizontal="left" readingOrder="0"/>
    </xf>
    <xf borderId="0" fillId="0" fontId="41" numFmtId="0" xfId="0" applyAlignment="1" applyFont="1">
      <alignment vertical="center"/>
    </xf>
    <xf borderId="0" fillId="0" fontId="5" numFmtId="3" xfId="0" applyAlignment="1" applyFont="1" applyNumberFormat="1">
      <alignment horizontal="left" readingOrder="0" vertical="center"/>
    </xf>
    <xf borderId="0" fillId="0" fontId="5" numFmtId="3" xfId="0" applyAlignment="1" applyFont="1" applyNumberFormat="1">
      <alignment vertical="center"/>
    </xf>
    <xf borderId="0" fillId="0" fontId="31" numFmtId="38" xfId="0" applyAlignment="1" applyFont="1" applyNumberFormat="1">
      <alignment vertical="center"/>
    </xf>
    <xf borderId="0" fillId="0" fontId="27" numFmtId="0" xfId="0" applyAlignment="1" applyFont="1">
      <alignment horizontal="left" readingOrder="0" vertical="center"/>
    </xf>
    <xf borderId="0" fillId="0" fontId="31" numFmtId="0" xfId="0" applyAlignment="1" applyFont="1">
      <alignment horizontal="left" readingOrder="0" vertical="center"/>
    </xf>
    <xf borderId="0" fillId="0" fontId="31" numFmtId="172" xfId="0" applyAlignment="1" applyFont="1" applyNumberFormat="1">
      <alignment horizontal="left" vertical="center"/>
    </xf>
    <xf borderId="0" fillId="0" fontId="43" numFmtId="0" xfId="0" applyFont="1"/>
    <xf borderId="68" fillId="13" fontId="27" numFmtId="1" xfId="0" applyAlignment="1" applyBorder="1" applyFont="1" applyNumberFormat="1">
      <alignment horizontal="center" readingOrder="0" vertical="center"/>
    </xf>
    <xf borderId="69" fillId="13" fontId="27" numFmtId="4" xfId="0" applyAlignment="1" applyBorder="1" applyFont="1" applyNumberFormat="1">
      <alignment readingOrder="0" vertical="center"/>
    </xf>
    <xf borderId="69" fillId="13" fontId="27" numFmtId="3" xfId="0" applyAlignment="1" applyBorder="1" applyFont="1" applyNumberFormat="1">
      <alignment horizontal="center" vertical="center"/>
    </xf>
    <xf borderId="70" fillId="13" fontId="27" numFmtId="169" xfId="0" applyAlignment="1" applyBorder="1" applyFont="1" applyNumberFormat="1">
      <alignment horizontal="center" vertical="center"/>
    </xf>
    <xf borderId="70" fillId="13" fontId="27" numFmtId="3" xfId="0" applyAlignment="1" applyBorder="1" applyFont="1" applyNumberFormat="1">
      <alignment horizontal="center" vertical="center"/>
    </xf>
    <xf borderId="69" fillId="13" fontId="27" numFmtId="3" xfId="0" applyAlignment="1" applyBorder="1" applyFont="1" applyNumberFormat="1">
      <alignment horizontal="center" readingOrder="0" vertical="center"/>
    </xf>
    <xf borderId="71" fillId="13" fontId="27" numFmtId="3" xfId="0" applyAlignment="1" applyBorder="1" applyFont="1" applyNumberFormat="1">
      <alignment horizontal="center" vertical="center"/>
    </xf>
    <xf borderId="72" fillId="0" fontId="27" numFmtId="0" xfId="0" applyAlignment="1" applyBorder="1" applyFont="1">
      <alignment horizontal="right" vertical="center"/>
    </xf>
    <xf borderId="16" fillId="0" fontId="27" numFmtId="0" xfId="0" applyAlignment="1" applyBorder="1" applyFont="1">
      <alignment shrinkToFit="0" vertical="center" wrapText="1"/>
    </xf>
    <xf borderId="16" fillId="0" fontId="31" numFmtId="0" xfId="0" applyAlignment="1" applyBorder="1" applyFont="1">
      <alignment shrinkToFit="0" vertical="center" wrapText="1"/>
    </xf>
    <xf borderId="16" fillId="0" fontId="31" numFmtId="0" xfId="0" applyAlignment="1" applyBorder="1" applyFont="1">
      <alignment horizontal="center" shrinkToFit="0" vertical="center" wrapText="1"/>
    </xf>
    <xf borderId="16" fillId="0" fontId="31" numFmtId="3" xfId="0" applyAlignment="1" applyBorder="1" applyFont="1" applyNumberFormat="1">
      <alignment horizontal="center" shrinkToFit="0" vertical="center" wrapText="1"/>
    </xf>
    <xf borderId="16" fillId="0" fontId="31" numFmtId="3" xfId="0" applyAlignment="1" applyBorder="1" applyFont="1" applyNumberFormat="1">
      <alignment shrinkToFit="0" vertical="center" wrapText="1"/>
    </xf>
    <xf borderId="73" fillId="0" fontId="27" numFmtId="3" xfId="0" applyAlignment="1" applyBorder="1" applyFont="1" applyNumberFormat="1">
      <alignment horizontal="left" shrinkToFit="0" vertical="center" wrapText="1"/>
    </xf>
    <xf borderId="0" fillId="0" fontId="31" numFmtId="0" xfId="0" applyFont="1"/>
    <xf borderId="74" fillId="0" fontId="27" numFmtId="0" xfId="0" applyAlignment="1" applyBorder="1" applyFont="1">
      <alignment horizontal="right" readingOrder="0" vertical="center"/>
    </xf>
    <xf borderId="25" fillId="0" fontId="27" numFmtId="0" xfId="0" applyAlignment="1" applyBorder="1" applyFont="1">
      <alignment shrinkToFit="0" vertical="center" wrapText="1"/>
    </xf>
    <xf borderId="47" fillId="0" fontId="27" numFmtId="0" xfId="0" applyAlignment="1" applyBorder="1" applyFont="1">
      <alignment shrinkToFit="0" vertical="center" wrapText="1"/>
    </xf>
    <xf borderId="47" fillId="0" fontId="27" numFmtId="0" xfId="0" applyAlignment="1" applyBorder="1" applyFont="1">
      <alignment horizontal="center" shrinkToFit="0" vertical="center" wrapText="1"/>
    </xf>
    <xf borderId="47" fillId="0" fontId="27" numFmtId="3" xfId="0" applyAlignment="1" applyBorder="1" applyFont="1" applyNumberFormat="1">
      <alignment horizontal="center" shrinkToFit="0" vertical="center" wrapText="1"/>
    </xf>
    <xf borderId="47" fillId="0" fontId="27" numFmtId="3" xfId="0" applyAlignment="1" applyBorder="1" applyFont="1" applyNumberFormat="1">
      <alignment shrinkToFit="0" vertical="center" wrapText="1"/>
    </xf>
    <xf borderId="75" fillId="0" fontId="27" numFmtId="3" xfId="0" applyAlignment="1" applyBorder="1" applyFont="1" applyNumberFormat="1">
      <alignment horizontal="left" shrinkToFit="0" vertical="center" wrapText="1"/>
    </xf>
    <xf borderId="76" fillId="0" fontId="31" numFmtId="0" xfId="0" applyAlignment="1" applyBorder="1" applyFont="1">
      <alignment horizontal="right" readingOrder="0" vertical="center"/>
    </xf>
    <xf borderId="47" fillId="0" fontId="31" numFmtId="0" xfId="0" applyAlignment="1" applyBorder="1" applyFont="1">
      <alignment readingOrder="0" shrinkToFit="0" vertical="center" wrapText="1"/>
    </xf>
    <xf borderId="47" fillId="0" fontId="31" numFmtId="0" xfId="0" applyAlignment="1" applyBorder="1" applyFont="1">
      <alignment shrinkToFit="0" vertical="center" wrapText="1"/>
    </xf>
    <xf borderId="47" fillId="0" fontId="31" numFmtId="0" xfId="0" applyAlignment="1" applyBorder="1" applyFont="1">
      <alignment horizontal="center" shrinkToFit="0" vertical="center" wrapText="1"/>
    </xf>
    <xf borderId="47" fillId="0" fontId="31" numFmtId="3" xfId="0" applyAlignment="1" applyBorder="1" applyFont="1" applyNumberFormat="1">
      <alignment horizontal="center" readingOrder="0" shrinkToFit="0" vertical="center" wrapText="1"/>
    </xf>
    <xf borderId="47" fillId="0" fontId="31" numFmtId="3" xfId="0" applyAlignment="1" applyBorder="1" applyFont="1" applyNumberFormat="1">
      <alignment shrinkToFit="0" vertical="center" wrapText="1"/>
    </xf>
    <xf borderId="77" fillId="0" fontId="31" numFmtId="3" xfId="0" applyAlignment="1" applyBorder="1" applyFont="1" applyNumberFormat="1">
      <alignment shrinkToFit="0" vertical="center" wrapText="1"/>
    </xf>
    <xf borderId="78" fillId="0" fontId="27" numFmtId="0" xfId="0" applyAlignment="1" applyBorder="1" applyFont="1">
      <alignment horizontal="right" vertical="center"/>
    </xf>
    <xf borderId="32" fillId="0" fontId="27" numFmtId="0" xfId="0" applyAlignment="1" applyBorder="1" applyFont="1">
      <alignment shrinkToFit="0" vertical="center" wrapText="1"/>
    </xf>
    <xf borderId="0" fillId="0" fontId="31" numFmtId="173" xfId="0" applyFont="1" applyNumberFormat="1"/>
    <xf borderId="0" fillId="0" fontId="31" numFmtId="173" xfId="0" applyAlignment="1" applyFont="1" applyNumberFormat="1">
      <alignment vertical="bottom"/>
    </xf>
    <xf borderId="47" fillId="0" fontId="31" numFmtId="3" xfId="0" applyAlignment="1" applyBorder="1" applyFont="1" applyNumberFormat="1">
      <alignment horizontal="center" shrinkToFit="0" vertical="center" wrapText="1"/>
    </xf>
    <xf borderId="0" fillId="0" fontId="31" numFmtId="0" xfId="0" applyFont="1"/>
    <xf borderId="0" fillId="0" fontId="31" numFmtId="0" xfId="0" applyAlignment="1" applyFont="1">
      <alignment vertical="bottom"/>
    </xf>
    <xf borderId="78" fillId="0" fontId="31" numFmtId="0" xfId="0" applyAlignment="1" applyBorder="1" applyFont="1">
      <alignment horizontal="right" vertical="center"/>
    </xf>
    <xf borderId="32" fillId="0" fontId="31" numFmtId="0" xfId="0" applyAlignment="1" applyBorder="1" applyFont="1">
      <alignment shrinkToFit="0" vertical="center" wrapText="1"/>
    </xf>
    <xf borderId="32" fillId="0" fontId="31" numFmtId="0" xfId="0" applyAlignment="1" applyBorder="1" applyFont="1">
      <alignment horizontal="center" shrinkToFit="0" vertical="center" wrapText="1"/>
    </xf>
    <xf borderId="32" fillId="0" fontId="31" numFmtId="3" xfId="0" applyAlignment="1" applyBorder="1" applyFont="1" applyNumberFormat="1">
      <alignment horizontal="center" readingOrder="0" shrinkToFit="0" vertical="center" wrapText="1"/>
    </xf>
    <xf borderId="32" fillId="0" fontId="31" numFmtId="3" xfId="0" applyAlignment="1" applyBorder="1" applyFont="1" applyNumberFormat="1">
      <alignment readingOrder="0" shrinkToFit="0" vertical="center" wrapText="1"/>
    </xf>
    <xf borderId="32" fillId="0" fontId="31" numFmtId="0" xfId="0" applyAlignment="1" applyBorder="1" applyFont="1">
      <alignment readingOrder="0" shrinkToFit="0" vertical="center" wrapText="1"/>
    </xf>
    <xf borderId="78" fillId="0" fontId="31" numFmtId="0" xfId="0" applyAlignment="1" applyBorder="1" applyFont="1">
      <alignment horizontal="right" readingOrder="0" vertical="center"/>
    </xf>
    <xf borderId="32" fillId="0" fontId="31" numFmtId="0" xfId="0" applyAlignment="1" applyBorder="1" applyFont="1">
      <alignment horizontal="center" readingOrder="0" shrinkToFit="0" vertical="center" wrapText="1"/>
    </xf>
    <xf borderId="32" fillId="0" fontId="31" numFmtId="3" xfId="0" applyAlignment="1" applyBorder="1" applyFont="1" applyNumberFormat="1">
      <alignment shrinkToFit="0" vertical="center" wrapText="1"/>
    </xf>
    <xf borderId="32" fillId="0" fontId="31" numFmtId="3" xfId="0" applyAlignment="1" applyBorder="1" applyFont="1" applyNumberFormat="1">
      <alignment horizontal="center" shrinkToFit="0" vertical="center" wrapText="1"/>
    </xf>
    <xf borderId="39" fillId="0" fontId="33" numFmtId="0" xfId="0" applyAlignment="1" applyBorder="1" applyFont="1">
      <alignment readingOrder="0" shrinkToFit="0" vertical="center" wrapText="1"/>
    </xf>
    <xf borderId="77" fillId="0" fontId="27" numFmtId="3" xfId="0" applyAlignment="1" applyBorder="1" applyFont="1" applyNumberFormat="1">
      <alignment horizontal="left" shrinkToFit="0" vertical="center" wrapText="1"/>
    </xf>
    <xf borderId="39" fillId="0" fontId="31" numFmtId="0" xfId="0" applyAlignment="1" applyBorder="1" applyFont="1">
      <alignment readingOrder="0" vertical="center"/>
    </xf>
    <xf borderId="39" fillId="0" fontId="31" numFmtId="0" xfId="0" applyAlignment="1" applyBorder="1" applyFont="1">
      <alignment vertical="center"/>
    </xf>
    <xf borderId="79" fillId="0" fontId="31" numFmtId="0" xfId="0" applyAlignment="1" applyBorder="1" applyFont="1">
      <alignment horizontal="right" readingOrder="0" vertical="center"/>
    </xf>
    <xf borderId="39" fillId="0" fontId="31" numFmtId="0" xfId="0" applyAlignment="1" applyBorder="1" applyFont="1">
      <alignment readingOrder="0" shrinkToFit="0" vertical="center" wrapText="1"/>
    </xf>
    <xf borderId="0" fillId="0" fontId="41" numFmtId="0" xfId="0" applyAlignment="1" applyFont="1">
      <alignment readingOrder="0"/>
    </xf>
    <xf borderId="79" fillId="0" fontId="31" numFmtId="0" xfId="0" applyAlignment="1" applyBorder="1" applyFont="1">
      <alignment horizontal="right" vertical="center"/>
    </xf>
    <xf borderId="78" fillId="0" fontId="27" numFmtId="0" xfId="0" applyAlignment="1" applyBorder="1" applyFont="1">
      <alignment horizontal="right" readingOrder="0" vertical="center"/>
    </xf>
    <xf borderId="32" fillId="0" fontId="27" numFmtId="0" xfId="0" applyAlignment="1" applyBorder="1" applyFont="1">
      <alignment readingOrder="0" shrinkToFit="0" vertical="center" wrapText="1"/>
    </xf>
    <xf borderId="32" fillId="0" fontId="27" numFmtId="0" xfId="0" applyAlignment="1" applyBorder="1" applyFont="1">
      <alignment readingOrder="0" vertical="center"/>
    </xf>
    <xf borderId="30" fillId="0" fontId="33" numFmtId="0" xfId="0" applyAlignment="1" applyBorder="1" applyFont="1">
      <alignment readingOrder="0" shrinkToFit="0" wrapText="1"/>
    </xf>
    <xf borderId="29" fillId="0" fontId="9" numFmtId="0" xfId="0" applyBorder="1" applyFont="1"/>
    <xf borderId="80" fillId="0" fontId="9" numFmtId="0" xfId="0" applyBorder="1" applyFont="1"/>
    <xf borderId="47" fillId="0" fontId="31" numFmtId="3" xfId="0" applyAlignment="1" applyBorder="1" applyFont="1" applyNumberFormat="1">
      <alignment readingOrder="0" shrinkToFit="0" vertical="center" wrapText="1"/>
    </xf>
    <xf borderId="32" fillId="0" fontId="31" numFmtId="4" xfId="0" applyAlignment="1" applyBorder="1" applyFont="1" applyNumberFormat="1">
      <alignment readingOrder="0" vertical="center"/>
    </xf>
    <xf borderId="32" fillId="0" fontId="31" numFmtId="169" xfId="0" applyAlignment="1" applyBorder="1" applyFont="1" applyNumberFormat="1">
      <alignment horizontal="center" readingOrder="0" vertical="center"/>
    </xf>
    <xf borderId="32" fillId="0" fontId="31" numFmtId="3" xfId="0" applyAlignment="1" applyBorder="1" applyFont="1" applyNumberFormat="1">
      <alignment horizontal="center" readingOrder="0" vertical="center"/>
    </xf>
    <xf borderId="32" fillId="0" fontId="31" numFmtId="3" xfId="0" applyAlignment="1" applyBorder="1" applyFont="1" applyNumberFormat="1">
      <alignment vertical="center"/>
    </xf>
    <xf borderId="32" fillId="0" fontId="31" numFmtId="4" xfId="0" applyAlignment="1" applyBorder="1" applyFont="1" applyNumberFormat="1">
      <alignment vertical="center"/>
    </xf>
    <xf borderId="32" fillId="0" fontId="31" numFmtId="169" xfId="0" applyAlignment="1" applyBorder="1" applyFont="1" applyNumberFormat="1">
      <alignment horizontal="center" vertical="center"/>
    </xf>
    <xf borderId="50" fillId="0" fontId="31" numFmtId="0" xfId="0" applyAlignment="1" applyBorder="1" applyFont="1">
      <alignment shrinkToFit="0" vertical="center" wrapText="1"/>
    </xf>
    <xf borderId="50" fillId="0" fontId="31" numFmtId="0" xfId="0" applyAlignment="1" applyBorder="1" applyFont="1">
      <alignment horizontal="center" shrinkToFit="0" vertical="center" wrapText="1"/>
    </xf>
    <xf borderId="50" fillId="0" fontId="31" numFmtId="3" xfId="0" applyAlignment="1" applyBorder="1" applyFont="1" applyNumberFormat="1">
      <alignment horizontal="center" readingOrder="0" shrinkToFit="0" vertical="center" wrapText="1"/>
    </xf>
    <xf borderId="50" fillId="0" fontId="31" numFmtId="3" xfId="0" applyAlignment="1" applyBorder="1" applyFont="1" applyNumberFormat="1">
      <alignment shrinkToFit="0" vertical="center" wrapText="1"/>
    </xf>
    <xf borderId="0" fillId="0" fontId="43" numFmtId="0" xfId="0" applyAlignment="1" applyFont="1">
      <alignment vertical="center"/>
    </xf>
    <xf borderId="29" fillId="0" fontId="31" numFmtId="0" xfId="0" applyAlignment="1" applyBorder="1" applyFont="1">
      <alignment horizontal="center" shrinkToFit="0" vertical="center" wrapText="1"/>
    </xf>
    <xf borderId="32" fillId="0" fontId="31" numFmtId="10" xfId="0" applyAlignment="1" applyBorder="1" applyFont="1" applyNumberFormat="1">
      <alignment shrinkToFit="0" vertical="center" wrapText="1"/>
    </xf>
    <xf borderId="75" fillId="0" fontId="31" numFmtId="3" xfId="0" applyAlignment="1" applyBorder="1" applyFont="1" applyNumberFormat="1">
      <alignment horizontal="right" shrinkToFit="0" vertical="center" wrapText="1"/>
    </xf>
    <xf borderId="76" fillId="0" fontId="27" numFmtId="0" xfId="0" applyAlignment="1" applyBorder="1" applyFont="1">
      <alignment horizontal="right" readingOrder="0" vertical="center"/>
    </xf>
    <xf borderId="47" fillId="0" fontId="27" numFmtId="0" xfId="0" applyAlignment="1" applyBorder="1" applyFont="1">
      <alignment readingOrder="0" shrinkToFit="0" vertical="center" wrapText="1"/>
    </xf>
    <xf borderId="47" fillId="0" fontId="31" numFmtId="0" xfId="0" applyAlignment="1" applyBorder="1" applyFont="1">
      <alignment horizontal="center" readingOrder="0" shrinkToFit="0" vertical="center" wrapText="1"/>
    </xf>
    <xf borderId="39" fillId="0" fontId="31" numFmtId="0" xfId="0" applyAlignment="1" applyBorder="1" applyFont="1">
      <alignment shrinkToFit="0" wrapText="1"/>
    </xf>
    <xf borderId="39" fillId="0" fontId="31" numFmtId="3" xfId="0" applyAlignment="1" applyBorder="1" applyFont="1" applyNumberFormat="1">
      <alignment horizontal="center" readingOrder="0" shrinkToFit="0" vertical="center" wrapText="1"/>
    </xf>
    <xf borderId="0" fillId="0" fontId="31" numFmtId="0" xfId="0" applyAlignment="1" applyFont="1">
      <alignment vertical="bottom"/>
    </xf>
    <xf borderId="81" fillId="0" fontId="31" numFmtId="0" xfId="0" applyAlignment="1" applyBorder="1" applyFont="1">
      <alignment horizontal="right" readingOrder="0" vertical="center"/>
    </xf>
    <xf borderId="50" fillId="0" fontId="31" numFmtId="4" xfId="0" applyBorder="1" applyFont="1" applyNumberFormat="1"/>
    <xf borderId="50" fillId="0" fontId="31" numFmtId="3" xfId="0" applyAlignment="1" applyBorder="1" applyFont="1" applyNumberFormat="1">
      <alignment readingOrder="0" shrinkToFit="0" vertical="center" wrapText="1"/>
    </xf>
    <xf borderId="0" fillId="0" fontId="43" numFmtId="38" xfId="0" applyFont="1" applyNumberFormat="1"/>
    <xf borderId="0" fillId="0" fontId="31" numFmtId="0" xfId="0" applyAlignment="1" applyFont="1">
      <alignment vertical="center"/>
    </xf>
    <xf borderId="32" fillId="0" fontId="31" numFmtId="4" xfId="0" applyBorder="1" applyFont="1" applyNumberFormat="1"/>
    <xf borderId="32" fillId="0" fontId="31" numFmtId="169" xfId="0" applyAlignment="1" applyBorder="1" applyFont="1" applyNumberFormat="1">
      <alignment horizontal="center" shrinkToFit="0" vertical="center" wrapText="1"/>
    </xf>
    <xf borderId="39" fillId="0" fontId="31" numFmtId="3" xfId="0" applyAlignment="1" applyBorder="1" applyFont="1" applyNumberFormat="1">
      <alignment horizontal="center" shrinkToFit="0" vertical="center" wrapText="1"/>
    </xf>
    <xf borderId="50" fillId="0" fontId="31" numFmtId="3" xfId="0" applyAlignment="1" applyBorder="1" applyFont="1" applyNumberFormat="1">
      <alignment horizontal="right" readingOrder="0" shrinkToFit="0" vertical="center" wrapText="1"/>
    </xf>
    <xf borderId="77" fillId="0" fontId="31" numFmtId="3" xfId="0" applyAlignment="1" applyBorder="1" applyFont="1" applyNumberFormat="1">
      <alignment horizontal="right" shrinkToFit="0" vertical="center" wrapText="1"/>
    </xf>
    <xf borderId="32" fillId="0" fontId="31" numFmtId="3" xfId="0" applyAlignment="1" applyBorder="1" applyFont="1" applyNumberFormat="1">
      <alignment horizontal="right" vertical="center"/>
    </xf>
    <xf borderId="40" fillId="0" fontId="31" numFmtId="0" xfId="0" applyAlignment="1" applyBorder="1" applyFont="1">
      <alignment horizontal="center" shrinkToFit="0" vertical="center" wrapText="1"/>
    </xf>
    <xf borderId="50" fillId="0" fontId="31" numFmtId="4" xfId="0" applyAlignment="1" applyBorder="1" applyFont="1" applyNumberFormat="1">
      <alignment vertical="center"/>
    </xf>
    <xf borderId="50" fillId="0" fontId="31" numFmtId="3" xfId="0" applyAlignment="1" applyBorder="1" applyFont="1" applyNumberFormat="1">
      <alignment horizontal="right" vertical="center"/>
    </xf>
    <xf borderId="50" fillId="0" fontId="31" numFmtId="169" xfId="0" applyAlignment="1" applyBorder="1" applyFont="1" applyNumberFormat="1">
      <alignment horizontal="center" vertical="center"/>
    </xf>
    <xf borderId="50" fillId="0" fontId="31" numFmtId="3" xfId="0" applyAlignment="1" applyBorder="1" applyFont="1" applyNumberFormat="1">
      <alignment horizontal="center" vertical="center"/>
    </xf>
    <xf borderId="50" fillId="0" fontId="31" numFmtId="3" xfId="0" applyAlignment="1" applyBorder="1" applyFont="1" applyNumberFormat="1">
      <alignment vertical="center"/>
    </xf>
    <xf borderId="75" fillId="0" fontId="31" numFmtId="3" xfId="0" applyAlignment="1" applyBorder="1" applyFont="1" applyNumberFormat="1">
      <alignment shrinkToFit="0" vertical="center" wrapText="1"/>
    </xf>
    <xf borderId="82" fillId="13" fontId="44" numFmtId="4" xfId="0" applyAlignment="1" applyBorder="1" applyFont="1" applyNumberFormat="1">
      <alignment vertical="center"/>
    </xf>
    <xf borderId="83" fillId="13" fontId="44" numFmtId="4" xfId="0" applyAlignment="1" applyBorder="1" applyFont="1" applyNumberFormat="1">
      <alignment vertical="center"/>
    </xf>
    <xf borderId="83" fillId="13" fontId="27" numFmtId="3" xfId="0" applyAlignment="1" applyBorder="1" applyFont="1" applyNumberFormat="1">
      <alignment horizontal="center" vertical="center"/>
    </xf>
    <xf borderId="83" fillId="13" fontId="27" numFmtId="169" xfId="0" applyAlignment="1" applyBorder="1" applyFont="1" applyNumberFormat="1">
      <alignment horizontal="center" vertical="center"/>
    </xf>
    <xf borderId="14" fillId="13" fontId="31" numFmtId="3" xfId="0" applyAlignment="1" applyBorder="1" applyFont="1" applyNumberFormat="1">
      <alignment vertical="center"/>
    </xf>
    <xf borderId="73" fillId="13" fontId="31" numFmtId="3" xfId="0" applyAlignment="1" applyBorder="1" applyFont="1" applyNumberFormat="1">
      <alignment vertical="center"/>
    </xf>
    <xf borderId="84" fillId="0" fontId="44" numFmtId="4" xfId="0" applyAlignment="1" applyBorder="1" applyFont="1" applyNumberFormat="1">
      <alignment vertical="center"/>
    </xf>
    <xf borderId="85" fillId="0" fontId="44" numFmtId="0" xfId="0" applyAlignment="1" applyBorder="1" applyFont="1">
      <alignment vertical="center"/>
    </xf>
    <xf borderId="85" fillId="0" fontId="31" numFmtId="0" xfId="0" applyAlignment="1" applyBorder="1" applyFont="1">
      <alignment horizontal="center" vertical="center"/>
    </xf>
    <xf borderId="85" fillId="0" fontId="31" numFmtId="169" xfId="0" applyAlignment="1" applyBorder="1" applyFont="1" applyNumberFormat="1">
      <alignment horizontal="center" vertical="center"/>
    </xf>
    <xf borderId="85" fillId="0" fontId="31" numFmtId="3" xfId="0" applyAlignment="1" applyBorder="1" applyFont="1" applyNumberFormat="1">
      <alignment horizontal="center" vertical="center"/>
    </xf>
    <xf borderId="86" fillId="0" fontId="31" numFmtId="3" xfId="0" applyAlignment="1" applyBorder="1" applyFont="1" applyNumberFormat="1">
      <alignment vertical="center"/>
    </xf>
    <xf borderId="87" fillId="0" fontId="27" numFmtId="3" xfId="0" applyAlignment="1" applyBorder="1" applyFont="1" applyNumberFormat="1">
      <alignment vertical="center"/>
    </xf>
    <xf borderId="88" fillId="0" fontId="31" numFmtId="169" xfId="0" applyAlignment="1" applyBorder="1" applyFont="1" applyNumberFormat="1">
      <alignment horizontal="center" vertical="center"/>
    </xf>
    <xf borderId="0" fillId="0" fontId="44" numFmtId="0" xfId="0" applyAlignment="1" applyFont="1">
      <alignment vertical="center"/>
    </xf>
    <xf borderId="0" fillId="0" fontId="31" numFmtId="169" xfId="0" applyAlignment="1" applyFont="1" applyNumberFormat="1">
      <alignment horizontal="center" vertical="center"/>
    </xf>
    <xf borderId="0" fillId="0" fontId="31" numFmtId="3" xfId="0" applyAlignment="1" applyFont="1" applyNumberFormat="1">
      <alignment vertical="center"/>
    </xf>
    <xf borderId="89" fillId="0" fontId="27" numFmtId="3" xfId="0" applyAlignment="1" applyBorder="1" applyFont="1" applyNumberFormat="1">
      <alignment horizontal="center" vertical="center"/>
    </xf>
    <xf borderId="0" fillId="0" fontId="42" numFmtId="4" xfId="0" applyAlignment="1" applyFont="1" applyNumberFormat="1">
      <alignment vertical="center"/>
    </xf>
    <xf borderId="89" fillId="0" fontId="31" numFmtId="3" xfId="0" applyAlignment="1" applyBorder="1" applyFont="1" applyNumberFormat="1">
      <alignment vertical="center"/>
    </xf>
    <xf borderId="65" fillId="14" fontId="27" numFmtId="4" xfId="0" applyAlignment="1" applyBorder="1" applyFill="1" applyFont="1" applyNumberFormat="1">
      <alignment vertical="center"/>
    </xf>
    <xf borderId="65" fillId="14" fontId="27" numFmtId="3" xfId="0" applyAlignment="1" applyBorder="1" applyFont="1" applyNumberFormat="1">
      <alignment horizontal="center" vertical="center"/>
    </xf>
    <xf borderId="65" fillId="14" fontId="27" numFmtId="169" xfId="0" applyAlignment="1" applyBorder="1" applyFont="1" applyNumberFormat="1">
      <alignment horizontal="center" vertical="center"/>
    </xf>
    <xf borderId="65" fillId="14" fontId="27" numFmtId="3" xfId="0" applyAlignment="1" applyBorder="1" applyFont="1" applyNumberFormat="1">
      <alignment horizontal="center" readingOrder="0" vertical="center"/>
    </xf>
    <xf borderId="67" fillId="14" fontId="27" numFmtId="3" xfId="0" applyAlignment="1" applyBorder="1" applyFont="1" applyNumberFormat="1">
      <alignment horizontal="center" vertical="center"/>
    </xf>
    <xf borderId="90" fillId="0" fontId="31" numFmtId="169" xfId="0" applyAlignment="1" applyBorder="1" applyFont="1" applyNumberFormat="1">
      <alignment horizontal="center" vertical="center"/>
    </xf>
    <xf borderId="12" fillId="0" fontId="45" numFmtId="4" xfId="0" applyAlignment="1" applyBorder="1" applyFont="1" applyNumberFormat="1">
      <alignment vertical="center"/>
    </xf>
    <xf borderId="9" fillId="0" fontId="31" numFmtId="3" xfId="0" applyAlignment="1" applyBorder="1" applyFont="1" applyNumberFormat="1">
      <alignment horizontal="center" vertical="center"/>
    </xf>
    <xf borderId="9" fillId="0" fontId="31" numFmtId="169" xfId="0" applyAlignment="1" applyBorder="1" applyFont="1" applyNumberFormat="1">
      <alignment horizontal="center" vertical="center"/>
    </xf>
    <xf borderId="91" fillId="0" fontId="31" numFmtId="3" xfId="0" applyAlignment="1" applyBorder="1" applyFont="1" applyNumberFormat="1">
      <alignment horizontal="center" vertical="center"/>
    </xf>
    <xf borderId="74" fillId="0" fontId="27" numFmtId="0" xfId="0" applyAlignment="1" applyBorder="1" applyFont="1">
      <alignment horizontal="right" vertical="center"/>
    </xf>
    <xf borderId="25" fillId="0" fontId="27" numFmtId="0" xfId="0" applyAlignment="1" applyBorder="1" applyFont="1">
      <alignment horizontal="left" vertical="center"/>
    </xf>
    <xf borderId="25" fillId="0" fontId="27" numFmtId="0" xfId="0" applyAlignment="1" applyBorder="1" applyFont="1">
      <alignment horizontal="center" shrinkToFit="0" vertical="center" wrapText="1"/>
    </xf>
    <xf borderId="25" fillId="0" fontId="27" numFmtId="3" xfId="0" applyAlignment="1" applyBorder="1" applyFont="1" applyNumberFormat="1">
      <alignment horizontal="center" shrinkToFit="0" vertical="center" wrapText="1"/>
    </xf>
    <xf borderId="92" fillId="0" fontId="27" numFmtId="3" xfId="0" applyAlignment="1" applyBorder="1" applyFont="1" applyNumberFormat="1">
      <alignment horizontal="left" shrinkToFit="0" vertical="center" wrapText="1"/>
    </xf>
    <xf borderId="89" fillId="0" fontId="43" numFmtId="0" xfId="0" applyAlignment="1" applyBorder="1" applyFont="1">
      <alignment vertical="bottom"/>
    </xf>
    <xf borderId="0" fillId="0" fontId="43" numFmtId="0" xfId="0" applyAlignment="1" applyFont="1">
      <alignment readingOrder="0" vertical="center"/>
    </xf>
    <xf borderId="0" fillId="0" fontId="5" numFmtId="0" xfId="0" applyFont="1"/>
    <xf borderId="0" fillId="0" fontId="46" numFmtId="0" xfId="0" applyAlignment="1" applyFont="1">
      <alignment readingOrder="0"/>
    </xf>
    <xf borderId="37" fillId="0" fontId="31" numFmtId="3" xfId="0" applyAlignment="1" applyBorder="1" applyFont="1" applyNumberFormat="1">
      <alignment shrinkToFit="0" vertical="center" wrapText="1"/>
    </xf>
    <xf borderId="37" fillId="0" fontId="31" numFmtId="169" xfId="0" applyAlignment="1" applyBorder="1" applyFont="1" applyNumberFormat="1">
      <alignment horizontal="center" vertical="center"/>
    </xf>
    <xf borderId="37" fillId="0" fontId="31" numFmtId="3" xfId="0" applyAlignment="1" applyBorder="1" applyFont="1" applyNumberFormat="1">
      <alignment horizontal="center" vertical="center"/>
    </xf>
    <xf borderId="37" fillId="0" fontId="31" numFmtId="3" xfId="0" applyAlignment="1" applyBorder="1" applyFont="1" applyNumberFormat="1">
      <alignment vertical="center"/>
    </xf>
    <xf borderId="93" fillId="13" fontId="27" numFmtId="3" xfId="0" applyAlignment="1" applyBorder="1" applyFont="1" applyNumberFormat="1">
      <alignment horizontal="center" vertical="center"/>
    </xf>
    <xf borderId="93" fillId="13" fontId="27" numFmtId="169" xfId="0" applyAlignment="1" applyBorder="1" applyFont="1" applyNumberFormat="1">
      <alignment horizontal="center" vertical="center"/>
    </xf>
    <xf borderId="65" fillId="13" fontId="27" numFmtId="4" xfId="0" applyAlignment="1" applyBorder="1" applyFont="1" applyNumberFormat="1">
      <alignment readingOrder="0" vertical="center"/>
    </xf>
    <xf borderId="65" fillId="13" fontId="27" numFmtId="3" xfId="0" applyAlignment="1" applyBorder="1" applyFont="1" applyNumberFormat="1">
      <alignment horizontal="center" vertical="center"/>
    </xf>
    <xf borderId="65" fillId="13" fontId="27" numFmtId="169" xfId="0" applyAlignment="1" applyBorder="1" applyFont="1" applyNumberFormat="1">
      <alignment horizontal="center" vertical="center"/>
    </xf>
    <xf borderId="4" fillId="0" fontId="42" numFmtId="4" xfId="0" applyAlignment="1" applyBorder="1" applyFont="1" applyNumberFormat="1">
      <alignment vertical="center"/>
    </xf>
    <xf borderId="16" fillId="0" fontId="31" numFmtId="3" xfId="0" applyAlignment="1" applyBorder="1" applyFont="1" applyNumberFormat="1">
      <alignment horizontal="center" vertical="center"/>
    </xf>
    <xf borderId="16" fillId="0" fontId="31" numFmtId="169" xfId="0" applyAlignment="1" applyBorder="1" applyFont="1" applyNumberFormat="1">
      <alignment horizontal="center" vertical="center"/>
    </xf>
    <xf borderId="16" fillId="0" fontId="31" numFmtId="3" xfId="0" applyAlignment="1" applyBorder="1" applyFont="1" applyNumberFormat="1">
      <alignment vertical="center"/>
    </xf>
    <xf borderId="73" fillId="0" fontId="31" numFmtId="3" xfId="0" applyAlignment="1" applyBorder="1" applyFont="1" applyNumberFormat="1">
      <alignment vertical="center"/>
    </xf>
    <xf borderId="0" fillId="0" fontId="35" numFmtId="0" xfId="0" applyAlignment="1" applyFont="1">
      <alignment readingOrder="0"/>
    </xf>
    <xf borderId="78" fillId="0" fontId="47" numFmtId="0" xfId="0" applyAlignment="1" applyBorder="1" applyFont="1">
      <alignment horizontal="right" readingOrder="0" vertical="center"/>
    </xf>
    <xf borderId="32" fillId="0" fontId="47" numFmtId="0" xfId="0" applyAlignment="1" applyBorder="1" applyFont="1">
      <alignment readingOrder="0" shrinkToFit="0" vertical="center" wrapText="1"/>
    </xf>
    <xf borderId="32" fillId="0" fontId="47" numFmtId="0" xfId="0" applyAlignment="1" applyBorder="1" applyFont="1">
      <alignment shrinkToFit="0" vertical="center" wrapText="1"/>
    </xf>
    <xf borderId="32" fillId="0" fontId="47" numFmtId="3" xfId="0" applyAlignment="1" applyBorder="1" applyFont="1" applyNumberFormat="1">
      <alignment horizontal="center" readingOrder="0" shrinkToFit="0" vertical="center" wrapText="1"/>
    </xf>
    <xf borderId="32" fillId="0" fontId="47" numFmtId="3" xfId="0" applyAlignment="1" applyBorder="1" applyFont="1" applyNumberFormat="1">
      <alignment readingOrder="0" shrinkToFit="0" vertical="center" wrapText="1"/>
    </xf>
    <xf borderId="0" fillId="0" fontId="47" numFmtId="0" xfId="0" applyFont="1"/>
    <xf borderId="32" fillId="0" fontId="31" numFmtId="10" xfId="0" applyAlignment="1" applyBorder="1" applyFont="1" applyNumberFormat="1">
      <alignment readingOrder="0" shrinkToFit="0" vertical="center" wrapText="1"/>
    </xf>
    <xf borderId="37" fillId="0" fontId="31" numFmtId="0" xfId="0" applyAlignment="1" applyBorder="1" applyFont="1">
      <alignment shrinkToFit="0" vertical="center" wrapText="1"/>
    </xf>
    <xf borderId="37" fillId="0" fontId="31" numFmtId="0" xfId="0" applyAlignment="1" applyBorder="1" applyFont="1">
      <alignment horizontal="center" shrinkToFit="0" vertical="center" wrapText="1"/>
    </xf>
    <xf borderId="37" fillId="0" fontId="31" numFmtId="3" xfId="0" applyAlignment="1" applyBorder="1" applyFont="1" applyNumberFormat="1">
      <alignment horizontal="center" shrinkToFit="0" vertical="center" wrapText="1"/>
    </xf>
    <xf borderId="72" fillId="13" fontId="27" numFmtId="169" xfId="0" applyAlignment="1" applyBorder="1" applyFont="1" applyNumberFormat="1">
      <alignment horizontal="center" vertical="center"/>
    </xf>
    <xf borderId="94" fillId="0" fontId="31" numFmtId="169" xfId="0" applyAlignment="1" applyBorder="1" applyFont="1" applyNumberFormat="1">
      <alignment horizontal="center" vertical="center"/>
    </xf>
    <xf borderId="88" fillId="0" fontId="27" numFmtId="169" xfId="0" applyAlignment="1" applyBorder="1" applyFont="1" applyNumberFormat="1">
      <alignment horizontal="center" vertical="center"/>
    </xf>
    <xf borderId="0" fillId="0" fontId="44" numFmtId="4" xfId="0" applyAlignment="1" applyFont="1" applyNumberFormat="1">
      <alignment vertical="center"/>
    </xf>
    <xf borderId="0" fillId="0" fontId="27" numFmtId="169" xfId="0" applyAlignment="1" applyFont="1" applyNumberFormat="1">
      <alignment horizontal="center" vertical="center"/>
    </xf>
    <xf borderId="0" fillId="0" fontId="43" numFmtId="0" xfId="0" applyAlignment="1" applyFont="1">
      <alignment vertical="bottom"/>
    </xf>
    <xf borderId="95" fillId="0" fontId="6" numFmtId="169" xfId="0" applyAlignment="1" applyBorder="1" applyFont="1" applyNumberFormat="1">
      <alignment horizontal="center" readingOrder="0"/>
    </xf>
    <xf borderId="96" fillId="0" fontId="6" numFmtId="4" xfId="0" applyAlignment="1" applyBorder="1" applyFont="1" applyNumberFormat="1">
      <alignment readingOrder="0"/>
    </xf>
    <xf borderId="97" fillId="0" fontId="48" numFmtId="3" xfId="0" applyBorder="1" applyFont="1" applyNumberFormat="1"/>
    <xf borderId="97" fillId="0" fontId="48" numFmtId="169" xfId="0" applyBorder="1" applyFont="1" applyNumberFormat="1"/>
    <xf borderId="97" fillId="0" fontId="48" numFmtId="3" xfId="0" applyAlignment="1" applyBorder="1" applyFont="1" applyNumberFormat="1">
      <alignment horizontal="center"/>
    </xf>
    <xf borderId="98" fillId="0" fontId="48" numFmtId="3" xfId="0" applyBorder="1" applyFont="1" applyNumberFormat="1"/>
    <xf borderId="99" fillId="0" fontId="6" numFmtId="3" xfId="0" applyAlignment="1" applyBorder="1" applyFont="1" applyNumberFormat="1">
      <alignment horizontal="center"/>
    </xf>
    <xf borderId="0" fillId="0" fontId="31" numFmtId="10" xfId="0" applyAlignment="1" applyFont="1" applyNumberFormat="1">
      <alignment vertical="bottom"/>
    </xf>
    <xf borderId="64" fillId="13" fontId="27" numFmtId="169" xfId="0" applyAlignment="1" applyBorder="1" applyFont="1" applyNumberFormat="1">
      <alignment horizontal="center" vertical="center"/>
    </xf>
    <xf borderId="65" fillId="13" fontId="27" numFmtId="4" xfId="0" applyAlignment="1" applyBorder="1" applyFont="1" applyNumberFormat="1">
      <alignment vertical="center"/>
    </xf>
    <xf borderId="100" fillId="0" fontId="42" numFmtId="4" xfId="0" applyAlignment="1" applyBorder="1" applyFont="1" applyNumberFormat="1">
      <alignment vertical="center"/>
    </xf>
    <xf borderId="101" fillId="0" fontId="27" numFmtId="0" xfId="0" applyAlignment="1" applyBorder="1" applyFont="1">
      <alignment shrinkToFit="0" vertical="center" wrapText="1"/>
    </xf>
    <xf borderId="47" fillId="0" fontId="31" numFmtId="3" xfId="0" applyAlignment="1" applyBorder="1" applyFont="1" applyNumberFormat="1">
      <alignment horizontal="center" vertical="center"/>
    </xf>
    <xf borderId="51" fillId="0" fontId="31" numFmtId="169" xfId="0" applyAlignment="1" applyBorder="1" applyFont="1" applyNumberFormat="1">
      <alignment horizontal="center" vertical="center"/>
    </xf>
    <xf borderId="25" fillId="0" fontId="31" numFmtId="3" xfId="0" applyAlignment="1" applyBorder="1" applyFont="1" applyNumberFormat="1">
      <alignment horizontal="center" vertical="center"/>
    </xf>
    <xf borderId="47" fillId="0" fontId="31" numFmtId="3" xfId="0" applyAlignment="1" applyBorder="1" applyFont="1" applyNumberFormat="1">
      <alignment vertical="center"/>
    </xf>
    <xf borderId="102" fillId="0" fontId="27" numFmtId="3" xfId="0" applyAlignment="1" applyBorder="1" applyFont="1" applyNumberFormat="1">
      <alignment horizontal="left" shrinkToFit="0" vertical="center" wrapText="1"/>
    </xf>
    <xf borderId="76" fillId="0" fontId="31" numFmtId="0" xfId="0" applyAlignment="1" applyBorder="1" applyFont="1">
      <alignment horizontal="right" vertical="center"/>
    </xf>
    <xf borderId="40" fillId="0" fontId="31" numFmtId="0" xfId="0" applyAlignment="1" applyBorder="1" applyFont="1">
      <alignment readingOrder="0" shrinkToFit="0" vertical="center" wrapText="1"/>
    </xf>
    <xf borderId="47" fillId="0" fontId="31" numFmtId="3" xfId="0" applyAlignment="1" applyBorder="1" applyFont="1" applyNumberFormat="1">
      <alignment horizontal="right" readingOrder="0" vertical="center"/>
    </xf>
    <xf borderId="40" fillId="0" fontId="31" numFmtId="169" xfId="0" applyAlignment="1" applyBorder="1" applyFont="1" applyNumberFormat="1">
      <alignment horizontal="center" vertical="center"/>
    </xf>
    <xf borderId="47" fillId="0" fontId="31" numFmtId="174" xfId="0" applyAlignment="1" applyBorder="1" applyFont="1" applyNumberFormat="1">
      <alignment horizontal="center" readingOrder="0" vertical="center"/>
    </xf>
    <xf borderId="40" fillId="0" fontId="31" numFmtId="0" xfId="0" applyAlignment="1" applyBorder="1" applyFont="1">
      <alignment shrinkToFit="0" vertical="center" wrapText="1"/>
    </xf>
    <xf borderId="29" fillId="0" fontId="31" numFmtId="0" xfId="0" applyAlignment="1" applyBorder="1" applyFont="1">
      <alignment shrinkToFit="0" vertical="center" wrapText="1"/>
    </xf>
    <xf borderId="29" fillId="0" fontId="31" numFmtId="0" xfId="0" applyAlignment="1" applyBorder="1" applyFont="1">
      <alignment vertical="center"/>
    </xf>
    <xf borderId="29" fillId="0" fontId="31" numFmtId="0" xfId="0" applyAlignment="1" applyBorder="1" applyFont="1">
      <alignment readingOrder="0" vertical="center"/>
    </xf>
    <xf borderId="0" fillId="0" fontId="5" numFmtId="173" xfId="0" applyFont="1" applyNumberFormat="1"/>
    <xf borderId="0" fillId="0" fontId="41" numFmtId="0" xfId="0" applyAlignment="1" applyFont="1">
      <alignment readingOrder="0" shrinkToFit="0" wrapText="0"/>
    </xf>
    <xf borderId="29" fillId="0" fontId="31" numFmtId="0" xfId="0" applyAlignment="1" applyBorder="1" applyFont="1">
      <alignment shrinkToFit="0" wrapText="1"/>
    </xf>
    <xf borderId="32" fillId="0" fontId="31" numFmtId="3" xfId="0" applyAlignment="1" applyBorder="1" applyFont="1" applyNumberFormat="1">
      <alignment horizontal="right" readingOrder="0" vertical="center"/>
    </xf>
    <xf borderId="32" fillId="0" fontId="31" numFmtId="3" xfId="0" applyAlignment="1" applyBorder="1" applyFont="1" applyNumberFormat="1">
      <alignment readingOrder="0" vertical="center"/>
    </xf>
    <xf borderId="0" fillId="0" fontId="49" numFmtId="173" xfId="0" applyFont="1" applyNumberFormat="1"/>
    <xf borderId="0" fillId="0" fontId="50" numFmtId="173" xfId="0" applyAlignment="1" applyFont="1" applyNumberFormat="1">
      <alignment readingOrder="0"/>
    </xf>
    <xf borderId="29" fillId="0" fontId="31" numFmtId="0" xfId="0" applyAlignment="1" applyBorder="1" applyFont="1">
      <alignment horizontal="center" readingOrder="0" shrinkToFit="0" vertical="center" wrapText="1"/>
    </xf>
    <xf borderId="29" fillId="0" fontId="31" numFmtId="0" xfId="0" applyAlignment="1" applyBorder="1" applyFont="1">
      <alignment readingOrder="0" shrinkToFit="0" vertical="center" wrapText="1"/>
    </xf>
    <xf borderId="32" fillId="0" fontId="31" numFmtId="174" xfId="0" applyAlignment="1" applyBorder="1" applyFont="1" applyNumberFormat="1">
      <alignment horizontal="center" readingOrder="0" shrinkToFit="0" vertical="center" wrapText="1"/>
    </xf>
    <xf borderId="30" fillId="0" fontId="31" numFmtId="0" xfId="0" applyAlignment="1" applyBorder="1" applyFont="1">
      <alignment horizontal="center" shrinkToFit="0" vertical="center" wrapText="1"/>
    </xf>
    <xf borderId="32" fillId="0" fontId="31" numFmtId="1" xfId="0" applyAlignment="1" applyBorder="1" applyFont="1" applyNumberFormat="1">
      <alignment shrinkToFit="0" vertical="center" wrapText="1"/>
    </xf>
    <xf borderId="39" fillId="0" fontId="31" numFmtId="0" xfId="0" applyAlignment="1" applyBorder="1" applyFont="1">
      <alignment shrinkToFit="0" vertical="center" wrapText="1"/>
    </xf>
    <xf borderId="47" fillId="0" fontId="5" numFmtId="0" xfId="0" applyAlignment="1" applyBorder="1" applyFont="1">
      <alignment vertical="center"/>
    </xf>
    <xf borderId="47" fillId="0" fontId="5" numFmtId="3" xfId="0" applyAlignment="1" applyBorder="1" applyFont="1" applyNumberFormat="1">
      <alignment horizontal="center" vertical="center"/>
    </xf>
    <xf borderId="47" fillId="0" fontId="5" numFmtId="3" xfId="0" applyAlignment="1" applyBorder="1" applyFont="1" applyNumberFormat="1">
      <alignment vertical="center"/>
    </xf>
    <xf borderId="39" fillId="0" fontId="27" numFmtId="0" xfId="0" applyAlignment="1" applyBorder="1" applyFont="1">
      <alignment readingOrder="0" shrinkToFit="0" vertical="center" wrapText="1"/>
    </xf>
    <xf borderId="32" fillId="0" fontId="5" numFmtId="0" xfId="0" applyAlignment="1" applyBorder="1" applyFont="1">
      <alignment vertical="center"/>
    </xf>
    <xf borderId="32" fillId="0" fontId="5" numFmtId="3" xfId="0" applyAlignment="1" applyBorder="1" applyFont="1" applyNumberFormat="1">
      <alignment horizontal="center" vertical="center"/>
    </xf>
    <xf borderId="32" fillId="0" fontId="5" numFmtId="3" xfId="0" applyAlignment="1" applyBorder="1" applyFont="1" applyNumberFormat="1">
      <alignment vertical="center"/>
    </xf>
    <xf borderId="80" fillId="0" fontId="31" numFmtId="3" xfId="0" applyAlignment="1" applyBorder="1" applyFont="1" applyNumberFormat="1">
      <alignment shrinkToFit="0" vertical="center" wrapText="1"/>
    </xf>
    <xf borderId="0" fillId="0" fontId="35" numFmtId="0" xfId="0" applyAlignment="1" applyFont="1">
      <alignment readingOrder="0" shrinkToFit="0" wrapText="0"/>
    </xf>
    <xf borderId="29" fillId="0" fontId="47" numFmtId="0" xfId="0" applyAlignment="1" applyBorder="1" applyFont="1">
      <alignment readingOrder="0" shrinkToFit="0" vertical="center" wrapText="1"/>
    </xf>
    <xf borderId="29" fillId="0" fontId="47" numFmtId="0" xfId="0" applyAlignment="1" applyBorder="1" applyFont="1">
      <alignment horizontal="center" shrinkToFit="0" vertical="center" wrapText="1"/>
    </xf>
    <xf borderId="77" fillId="0" fontId="47" numFmtId="3" xfId="0" applyAlignment="1" applyBorder="1" applyFont="1" applyNumberFormat="1">
      <alignment shrinkToFit="0" vertical="center" wrapText="1"/>
    </xf>
    <xf borderId="0" fillId="0" fontId="5" numFmtId="0" xfId="0" applyAlignment="1" applyFont="1">
      <alignment readingOrder="0" shrinkToFit="0" wrapText="0"/>
    </xf>
    <xf borderId="29" fillId="0" fontId="27" numFmtId="0" xfId="0" applyAlignment="1" applyBorder="1" applyFont="1">
      <alignment shrinkToFit="0" vertical="center" wrapText="1"/>
    </xf>
    <xf borderId="29" fillId="0" fontId="27" numFmtId="0" xfId="0" applyAlignment="1" applyBorder="1" applyFont="1">
      <alignment horizontal="center" shrinkToFit="0" vertical="center" wrapText="1"/>
    </xf>
    <xf borderId="32" fillId="0" fontId="27" numFmtId="3" xfId="0" applyAlignment="1" applyBorder="1" applyFont="1" applyNumberFormat="1">
      <alignment horizontal="center" shrinkToFit="0" vertical="center" wrapText="1"/>
    </xf>
    <xf borderId="32" fillId="0" fontId="27" numFmtId="3" xfId="0" applyAlignment="1" applyBorder="1" applyFont="1" applyNumberFormat="1">
      <alignment shrinkToFit="0" vertical="center" wrapText="1"/>
    </xf>
    <xf borderId="80" fillId="0" fontId="27" numFmtId="3" xfId="0" applyAlignment="1" applyBorder="1" applyFont="1" applyNumberFormat="1">
      <alignment horizontal="left" shrinkToFit="0" vertical="center" wrapText="1"/>
    </xf>
    <xf borderId="47" fillId="0" fontId="31" numFmtId="4" xfId="0" applyAlignment="1" applyBorder="1" applyFont="1" applyNumberFormat="1">
      <alignment vertical="center"/>
    </xf>
    <xf borderId="47" fillId="0" fontId="31" numFmtId="3" xfId="0" applyAlignment="1" applyBorder="1" applyFont="1" applyNumberFormat="1">
      <alignment horizontal="right" vertical="center"/>
    </xf>
    <xf borderId="47" fillId="0" fontId="31" numFmtId="169" xfId="0" applyAlignment="1" applyBorder="1" applyFont="1" applyNumberFormat="1">
      <alignment horizontal="center" vertical="center"/>
    </xf>
    <xf borderId="0" fillId="0" fontId="51" numFmtId="0" xfId="0" applyFont="1"/>
    <xf borderId="32" fillId="0" fontId="27" numFmtId="4" xfId="0" applyAlignment="1" applyBorder="1" applyFont="1" applyNumberFormat="1">
      <alignment readingOrder="0" vertical="center"/>
    </xf>
    <xf borderId="32" fillId="0" fontId="27" numFmtId="3" xfId="0" applyAlignment="1" applyBorder="1" applyFont="1" applyNumberFormat="1">
      <alignment horizontal="right" vertical="center"/>
    </xf>
    <xf borderId="32" fillId="0" fontId="27" numFmtId="169" xfId="0" applyAlignment="1" applyBorder="1" applyFont="1" applyNumberFormat="1">
      <alignment horizontal="center" vertical="center"/>
    </xf>
    <xf borderId="32" fillId="0" fontId="27" numFmtId="3" xfId="0" applyAlignment="1" applyBorder="1" applyFont="1" applyNumberFormat="1">
      <alignment horizontal="center" vertical="center"/>
    </xf>
    <xf borderId="32" fillId="0" fontId="27" numFmtId="3" xfId="0" applyAlignment="1" applyBorder="1" applyFont="1" applyNumberFormat="1">
      <alignment vertical="center"/>
    </xf>
    <xf borderId="0" fillId="0" fontId="27" numFmtId="173" xfId="0" applyFont="1" applyNumberFormat="1"/>
    <xf borderId="0" fillId="0" fontId="31" numFmtId="173" xfId="0" applyAlignment="1" applyFont="1" applyNumberFormat="1">
      <alignment readingOrder="0" vertical="bottom"/>
    </xf>
    <xf borderId="0" fillId="0" fontId="5" numFmtId="173" xfId="0" applyAlignment="1" applyFont="1" applyNumberFormat="1">
      <alignment readingOrder="0"/>
    </xf>
    <xf borderId="0" fillId="2" fontId="52" numFmtId="4" xfId="0" applyAlignment="1" applyFont="1" applyNumberFormat="1">
      <alignment readingOrder="0"/>
    </xf>
    <xf borderId="103" fillId="0" fontId="31" numFmtId="3" xfId="0" applyAlignment="1" applyBorder="1" applyFont="1" applyNumberFormat="1">
      <alignment shrinkToFit="0" vertical="center" wrapText="1"/>
    </xf>
    <xf borderId="104" fillId="13" fontId="44" numFmtId="4" xfId="0" applyAlignment="1" applyBorder="1" applyFont="1" applyNumberFormat="1">
      <alignment vertical="center"/>
    </xf>
    <xf borderId="105" fillId="13" fontId="44" numFmtId="4" xfId="0" applyAlignment="1" applyBorder="1" applyFont="1" applyNumberFormat="1">
      <alignment vertical="center"/>
    </xf>
    <xf borderId="105" fillId="13" fontId="27" numFmtId="3" xfId="0" applyAlignment="1" applyBorder="1" applyFont="1" applyNumberFormat="1">
      <alignment horizontal="center" vertical="center"/>
    </xf>
    <xf borderId="105" fillId="13" fontId="27" numFmtId="169" xfId="0" applyAlignment="1" applyBorder="1" applyFont="1" applyNumberFormat="1">
      <alignment horizontal="center" vertical="center"/>
    </xf>
    <xf borderId="105" fillId="13" fontId="31" numFmtId="3" xfId="0" applyAlignment="1" applyBorder="1" applyFont="1" applyNumberFormat="1">
      <alignment vertical="center"/>
    </xf>
    <xf borderId="106" fillId="13" fontId="31" numFmtId="3" xfId="0" applyAlignment="1" applyBorder="1" applyFont="1" applyNumberFormat="1">
      <alignment vertical="center"/>
    </xf>
    <xf borderId="107" fillId="0" fontId="44" numFmtId="4" xfId="0" applyAlignment="1" applyBorder="1" applyFont="1" applyNumberFormat="1">
      <alignment vertical="center"/>
    </xf>
    <xf borderId="86" fillId="0" fontId="44" numFmtId="4" xfId="0" applyAlignment="1" applyBorder="1" applyFont="1" applyNumberFormat="1">
      <alignment vertical="center"/>
    </xf>
    <xf borderId="86" fillId="0" fontId="31" numFmtId="3" xfId="0" applyAlignment="1" applyBorder="1" applyFont="1" applyNumberFormat="1">
      <alignment horizontal="center" vertical="center"/>
    </xf>
    <xf borderId="86" fillId="0" fontId="31" numFmtId="169" xfId="0" applyAlignment="1" applyBorder="1" applyFont="1" applyNumberFormat="1">
      <alignment horizontal="center" vertical="center"/>
    </xf>
    <xf borderId="108" fillId="0" fontId="31" numFmtId="3" xfId="0" applyAlignment="1" applyBorder="1" applyFont="1" applyNumberFormat="1">
      <alignment vertical="center"/>
    </xf>
    <xf borderId="12" fillId="0" fontId="42" numFmtId="4" xfId="0" applyAlignment="1" applyBorder="1" applyFont="1" applyNumberFormat="1">
      <alignment vertical="center"/>
    </xf>
    <xf borderId="28" fillId="0" fontId="31" numFmtId="4" xfId="0" applyAlignment="1" applyBorder="1" applyFont="1" applyNumberFormat="1">
      <alignment horizontal="center" vertical="center"/>
    </xf>
    <xf borderId="22" fillId="0" fontId="27" numFmtId="0" xfId="0" applyAlignment="1" applyBorder="1" applyFont="1">
      <alignment shrinkToFit="0" vertical="center" wrapText="1"/>
    </xf>
    <xf borderId="101" fillId="0" fontId="27" numFmtId="0" xfId="0" applyAlignment="1" applyBorder="1" applyFont="1">
      <alignment horizontal="center" shrinkToFit="0" vertical="center" wrapText="1"/>
    </xf>
    <xf borderId="101" fillId="0" fontId="27" numFmtId="3" xfId="0" applyAlignment="1" applyBorder="1" applyFont="1" applyNumberFormat="1">
      <alignment horizontal="center" shrinkToFit="0" vertical="center" wrapText="1"/>
    </xf>
    <xf borderId="25" fillId="0" fontId="27" numFmtId="3" xfId="0" applyAlignment="1" applyBorder="1" applyFont="1" applyNumberFormat="1">
      <alignment shrinkToFit="0" vertical="center" wrapText="1"/>
    </xf>
    <xf borderId="39" fillId="0" fontId="31" numFmtId="0" xfId="0" applyAlignment="1" applyBorder="1" applyFont="1">
      <alignment horizontal="center" shrinkToFit="0" vertical="center" wrapText="1"/>
    </xf>
    <xf borderId="40" fillId="0" fontId="53" numFmtId="0" xfId="0" applyAlignment="1" applyBorder="1" applyFont="1">
      <alignment readingOrder="0" shrinkToFit="0" vertical="center" wrapText="1"/>
    </xf>
    <xf borderId="29" fillId="0" fontId="33" numFmtId="0" xfId="0" applyAlignment="1" applyBorder="1" applyFont="1">
      <alignment readingOrder="0" shrinkToFit="0" vertical="center" wrapText="1"/>
    </xf>
    <xf borderId="39" fillId="0" fontId="31" numFmtId="4" xfId="0" applyAlignment="1" applyBorder="1" applyFont="1" applyNumberFormat="1">
      <alignment horizontal="center" readingOrder="0" shrinkToFit="0" vertical="center" wrapText="1"/>
    </xf>
    <xf borderId="48" fillId="0" fontId="33" numFmtId="0" xfId="0" applyAlignment="1" applyBorder="1" applyFont="1">
      <alignment readingOrder="0" shrinkToFit="0" vertical="center" wrapText="0"/>
    </xf>
    <xf borderId="39" fillId="0" fontId="31" numFmtId="4" xfId="0" applyAlignment="1" applyBorder="1" applyFont="1" applyNumberFormat="1">
      <alignment horizontal="center" shrinkToFit="0" vertical="center" wrapText="1"/>
    </xf>
    <xf borderId="39" fillId="0" fontId="31" numFmtId="0" xfId="0" applyAlignment="1" applyBorder="1" applyFont="1">
      <alignment horizontal="center" readingOrder="0" shrinkToFit="0" vertical="center" wrapText="1"/>
    </xf>
    <xf borderId="29" fillId="0" fontId="54" numFmtId="0" xfId="0" applyAlignment="1" applyBorder="1" applyFont="1">
      <alignment readingOrder="0" shrinkToFit="0" vertical="center" wrapText="1"/>
    </xf>
    <xf borderId="50" fillId="0" fontId="31" numFmtId="0" xfId="0" applyAlignment="1" applyBorder="1" applyFont="1">
      <alignment readingOrder="0" shrinkToFit="0" vertical="center" wrapText="1"/>
    </xf>
    <xf borderId="28" fillId="0" fontId="31" numFmtId="0" xfId="0" applyAlignment="1" applyBorder="1" applyFont="1">
      <alignment readingOrder="0" shrinkToFit="0" vertical="center" wrapText="1"/>
    </xf>
    <xf borderId="28" fillId="0" fontId="31" numFmtId="3" xfId="0" applyAlignment="1" applyBorder="1" applyFont="1" applyNumberFormat="1">
      <alignment readingOrder="0" shrinkToFit="0" vertical="center" wrapText="1"/>
    </xf>
    <xf borderId="39" fillId="0" fontId="31" numFmtId="174" xfId="0" applyAlignment="1" applyBorder="1" applyFont="1" applyNumberFormat="1">
      <alignment horizontal="center" readingOrder="0" shrinkToFit="0" vertical="center" wrapText="1"/>
    </xf>
    <xf borderId="48" fillId="0" fontId="32" numFmtId="0" xfId="0" applyAlignment="1" applyBorder="1" applyFont="1">
      <alignment readingOrder="0"/>
    </xf>
    <xf borderId="78" fillId="0" fontId="31" numFmtId="169" xfId="0" applyAlignment="1" applyBorder="1" applyFont="1" applyNumberFormat="1">
      <alignment horizontal="center" vertical="center"/>
    </xf>
    <xf borderId="29" fillId="0" fontId="42" numFmtId="4" xfId="0" applyAlignment="1" applyBorder="1" applyFont="1" applyNumberFormat="1">
      <alignment vertical="center"/>
    </xf>
    <xf borderId="32" fillId="0" fontId="31" numFmtId="1" xfId="0" applyAlignment="1" applyBorder="1" applyFont="1" applyNumberFormat="1">
      <alignment horizontal="center" vertical="center"/>
    </xf>
    <xf borderId="39" fillId="0" fontId="31" numFmtId="169" xfId="0" applyAlignment="1" applyBorder="1" applyFont="1" applyNumberFormat="1">
      <alignment horizontal="center" vertical="center"/>
    </xf>
    <xf borderId="39" fillId="0" fontId="31" numFmtId="3" xfId="0" applyAlignment="1" applyBorder="1" applyFont="1" applyNumberFormat="1">
      <alignment horizontal="center" vertical="center"/>
    </xf>
    <xf borderId="77" fillId="0" fontId="31" numFmtId="3" xfId="0" applyAlignment="1" applyBorder="1" applyFont="1" applyNumberFormat="1">
      <alignment vertical="center"/>
    </xf>
    <xf borderId="39" fillId="0" fontId="27" numFmtId="0" xfId="0" applyAlignment="1" applyBorder="1" applyFont="1">
      <alignment horizontal="center" shrinkToFit="0" vertical="center" wrapText="1"/>
    </xf>
    <xf borderId="39" fillId="0" fontId="27" numFmtId="3" xfId="0" applyAlignment="1" applyBorder="1" applyFont="1" applyNumberFormat="1">
      <alignment horizontal="center" shrinkToFit="0" vertical="center" wrapText="1"/>
    </xf>
    <xf borderId="32" fillId="0" fontId="31" numFmtId="174" xfId="0" applyAlignment="1" applyBorder="1" applyFont="1" applyNumberFormat="1">
      <alignment readingOrder="0" shrinkToFit="0" vertical="center" wrapText="1"/>
    </xf>
    <xf borderId="39" fillId="0" fontId="47" numFmtId="0" xfId="0" applyAlignment="1" applyBorder="1" applyFont="1">
      <alignment horizontal="center" readingOrder="0" shrinkToFit="0" vertical="center" wrapText="1"/>
    </xf>
    <xf borderId="39" fillId="0" fontId="47" numFmtId="3" xfId="0" applyAlignment="1" applyBorder="1" applyFont="1" applyNumberFormat="1">
      <alignment horizontal="center" readingOrder="0" shrinkToFit="0" vertical="center" wrapText="1"/>
    </xf>
    <xf borderId="32" fillId="0" fontId="47" numFmtId="3" xfId="0" applyAlignment="1" applyBorder="1" applyFont="1" applyNumberFormat="1">
      <alignment shrinkToFit="0" vertical="center" wrapText="1"/>
    </xf>
    <xf borderId="0" fillId="0" fontId="47" numFmtId="38" xfId="0" applyAlignment="1" applyFont="1" applyNumberFormat="1">
      <alignment vertical="center"/>
    </xf>
    <xf borderId="29" fillId="0" fontId="27" numFmtId="0" xfId="0" applyAlignment="1" applyBorder="1" applyFont="1">
      <alignment readingOrder="0" shrinkToFit="0" vertical="center" wrapText="1"/>
    </xf>
    <xf borderId="32" fillId="0" fontId="31" numFmtId="1" xfId="0" applyAlignment="1" applyBorder="1" applyFont="1" applyNumberFormat="1">
      <alignment readingOrder="0" shrinkToFit="0" vertical="center" wrapText="1"/>
    </xf>
    <xf borderId="32" fillId="0" fontId="31" numFmtId="3" xfId="0" applyAlignment="1" applyBorder="1" applyFont="1" applyNumberFormat="1">
      <alignment horizontal="center" vertical="center"/>
    </xf>
    <xf borderId="39" fillId="0" fontId="31" numFmtId="3" xfId="0" applyAlignment="1" applyBorder="1" applyFont="1" applyNumberFormat="1">
      <alignment shrinkToFit="0" vertical="center" wrapText="1"/>
    </xf>
    <xf borderId="81" fillId="0" fontId="31" numFmtId="0" xfId="0" applyAlignment="1" applyBorder="1" applyFont="1">
      <alignment horizontal="right" vertical="center"/>
    </xf>
    <xf borderId="50" fillId="0" fontId="31" numFmtId="3" xfId="0" applyAlignment="1" applyBorder="1" applyFont="1" applyNumberFormat="1">
      <alignment horizontal="center" shrinkToFit="0" vertical="center" wrapText="1"/>
    </xf>
    <xf borderId="78" fillId="0" fontId="43" numFmtId="0" xfId="0" applyAlignment="1" applyBorder="1" applyFont="1">
      <alignment horizontal="right" readingOrder="0" vertical="center"/>
    </xf>
    <xf borderId="32" fillId="0" fontId="31" numFmtId="4" xfId="0" applyAlignment="1" applyBorder="1" applyFont="1" applyNumberFormat="1">
      <alignment readingOrder="0" shrinkToFit="0" vertical="center" wrapText="1"/>
    </xf>
    <xf borderId="86" fillId="0" fontId="31" numFmtId="4" xfId="0" applyAlignment="1" applyBorder="1" applyFont="1" applyNumberFormat="1">
      <alignment horizontal="center" vertical="center"/>
    </xf>
    <xf borderId="0" fillId="0" fontId="31" numFmtId="4" xfId="0" applyAlignment="1" applyFont="1" applyNumberFormat="1">
      <alignment horizontal="center" vertical="center"/>
    </xf>
    <xf borderId="65" fillId="13" fontId="27" numFmtId="4" xfId="0" applyAlignment="1" applyBorder="1" applyFont="1" applyNumberFormat="1">
      <alignment horizontal="left" vertical="center"/>
    </xf>
    <xf borderId="8" fillId="0" fontId="42" numFmtId="4" xfId="0" applyAlignment="1" applyBorder="1" applyFont="1" applyNumberFormat="1">
      <alignment vertical="center"/>
    </xf>
    <xf borderId="16" fillId="0" fontId="31" numFmtId="4" xfId="0" applyAlignment="1" applyBorder="1" applyFont="1" applyNumberFormat="1">
      <alignment horizontal="center" vertical="center"/>
    </xf>
    <xf borderId="109" fillId="0" fontId="31" numFmtId="3" xfId="0" applyAlignment="1" applyBorder="1" applyFont="1" applyNumberFormat="1">
      <alignment vertical="center"/>
    </xf>
    <xf borderId="39" fillId="0" fontId="27" numFmtId="0" xfId="0" applyAlignment="1" applyBorder="1" applyFont="1">
      <alignment vertical="center"/>
    </xf>
    <xf borderId="39" fillId="0" fontId="27" numFmtId="0" xfId="0" applyAlignment="1" applyBorder="1" applyFont="1">
      <alignment shrinkToFit="0" vertical="center" wrapText="1"/>
    </xf>
    <xf borderId="39" fillId="0" fontId="27" numFmtId="3" xfId="0" applyAlignment="1" applyBorder="1" applyFont="1" applyNumberFormat="1">
      <alignment shrinkToFit="0" vertical="center" wrapText="1"/>
    </xf>
    <xf borderId="85" fillId="0" fontId="44" numFmtId="4" xfId="0" applyAlignment="1" applyBorder="1" applyFont="1" applyNumberFormat="1">
      <alignment vertical="center"/>
    </xf>
    <xf borderId="85" fillId="0" fontId="31" numFmtId="4" xfId="0" applyAlignment="1" applyBorder="1" applyFont="1" applyNumberFormat="1">
      <alignment horizontal="center" vertical="center"/>
    </xf>
    <xf borderId="85" fillId="0" fontId="31" numFmtId="3" xfId="0" applyAlignment="1" applyBorder="1" applyFont="1" applyNumberFormat="1">
      <alignment vertical="center"/>
    </xf>
    <xf borderId="110" fillId="0" fontId="27" numFmtId="3" xfId="0" applyAlignment="1" applyBorder="1" applyFont="1" applyNumberFormat="1">
      <alignment vertical="center"/>
    </xf>
    <xf borderId="0" fillId="0" fontId="42" numFmtId="173" xfId="0" applyAlignment="1" applyFont="1" applyNumberFormat="1">
      <alignment vertical="center"/>
    </xf>
    <xf borderId="89" fillId="0" fontId="33" numFmtId="3" xfId="0" applyAlignment="1" applyBorder="1" applyFont="1" applyNumberFormat="1">
      <alignment vertical="center"/>
    </xf>
    <xf borderId="0" fillId="0" fontId="55" numFmtId="0" xfId="0" applyAlignment="1" applyFont="1">
      <alignment vertical="center"/>
    </xf>
    <xf borderId="8" fillId="0" fontId="31" numFmtId="4" xfId="0" applyAlignment="1" applyBorder="1" applyFont="1" applyNumberFormat="1">
      <alignment horizontal="center" vertical="center"/>
    </xf>
    <xf borderId="8" fillId="0" fontId="31" numFmtId="169" xfId="0" applyAlignment="1" applyBorder="1" applyFont="1" applyNumberFormat="1">
      <alignment horizontal="center" vertical="center"/>
    </xf>
    <xf borderId="8" fillId="0" fontId="31" numFmtId="3" xfId="0" applyAlignment="1" applyBorder="1" applyFont="1" applyNumberFormat="1">
      <alignment horizontal="center" vertical="center"/>
    </xf>
    <xf borderId="8" fillId="0" fontId="31" numFmtId="3" xfId="0" applyAlignment="1" applyBorder="1" applyFont="1" applyNumberFormat="1">
      <alignment vertical="center"/>
    </xf>
    <xf borderId="111" fillId="0" fontId="31" numFmtId="3" xfId="0" applyAlignment="1" applyBorder="1" applyFont="1" applyNumberFormat="1">
      <alignment vertical="center"/>
    </xf>
    <xf borderId="25" fillId="0" fontId="27" numFmtId="0" xfId="0" applyAlignment="1" applyBorder="1" applyFont="1">
      <alignment readingOrder="0" shrinkToFit="0" vertical="center" wrapText="1"/>
    </xf>
    <xf borderId="0" fillId="0" fontId="56" numFmtId="0" xfId="0" applyFont="1"/>
    <xf borderId="32" fillId="0" fontId="5" numFmtId="3" xfId="0" applyAlignment="1" applyBorder="1" applyFont="1" applyNumberFormat="1">
      <alignment horizontal="center"/>
    </xf>
    <xf borderId="32" fillId="0" fontId="5" numFmtId="3" xfId="0" applyBorder="1" applyFont="1" applyNumberFormat="1"/>
    <xf borderId="78" fillId="0" fontId="33" numFmtId="0" xfId="0" applyAlignment="1" applyBorder="1" applyFont="1">
      <alignment horizontal="right" readingOrder="0" vertical="center"/>
    </xf>
    <xf borderId="32" fillId="0" fontId="33" numFmtId="0" xfId="0" applyAlignment="1" applyBorder="1" applyFont="1">
      <alignment readingOrder="0" shrinkToFit="0" vertical="center" wrapText="1"/>
    </xf>
    <xf borderId="32" fillId="0" fontId="31" numFmtId="4" xfId="0" applyAlignment="1" applyBorder="1" applyFont="1" applyNumberFormat="1">
      <alignment horizontal="center" readingOrder="0" shrinkToFit="0" vertical="center" wrapText="1"/>
    </xf>
    <xf borderId="0" fillId="0" fontId="33" numFmtId="0" xfId="0" applyFont="1"/>
    <xf borderId="0" fillId="0" fontId="31" numFmtId="3" xfId="0" applyAlignment="1" applyFont="1" applyNumberFormat="1">
      <alignment vertical="bottom"/>
    </xf>
    <xf borderId="32" fillId="0" fontId="57" numFmtId="0" xfId="0" applyAlignment="1" applyBorder="1" applyFont="1">
      <alignment readingOrder="0" shrinkToFit="0" vertical="center" wrapText="1"/>
    </xf>
    <xf borderId="32" fillId="0" fontId="31" numFmtId="4" xfId="0" applyAlignment="1" applyBorder="1" applyFont="1" applyNumberFormat="1">
      <alignment horizontal="center" shrinkToFit="0" vertical="center" wrapText="1"/>
    </xf>
    <xf borderId="0" fillId="0" fontId="43" numFmtId="0" xfId="0" applyAlignment="1" applyFont="1">
      <alignment readingOrder="0"/>
    </xf>
    <xf borderId="32" fillId="0" fontId="58" numFmtId="0" xfId="0" applyAlignment="1" applyBorder="1" applyFont="1">
      <alignment readingOrder="0" shrinkToFit="0" vertical="center" wrapText="1"/>
    </xf>
    <xf borderId="32" fillId="0" fontId="31" numFmtId="172" xfId="0" applyAlignment="1" applyBorder="1" applyFont="1" applyNumberFormat="1">
      <alignment shrinkToFit="0" vertical="center" wrapText="1"/>
    </xf>
    <xf borderId="32" fillId="0" fontId="5" numFmtId="0" xfId="0" applyAlignment="1" applyBorder="1" applyFont="1">
      <alignment horizontal="center" readingOrder="0"/>
    </xf>
    <xf borderId="32" fillId="0" fontId="5" numFmtId="3" xfId="0" applyAlignment="1" applyBorder="1" applyFont="1" applyNumberFormat="1">
      <alignment horizontal="center" readingOrder="0"/>
    </xf>
    <xf borderId="32" fillId="0" fontId="5" numFmtId="3" xfId="0" applyAlignment="1" applyBorder="1" applyFont="1" applyNumberFormat="1">
      <alignment readingOrder="0"/>
    </xf>
    <xf borderId="50" fillId="0" fontId="31" numFmtId="3" xfId="0" applyAlignment="1" applyBorder="1" applyFont="1" applyNumberFormat="1">
      <alignment horizontal="center" readingOrder="0" vertical="center"/>
    </xf>
    <xf borderId="32" fillId="0" fontId="31" numFmtId="0" xfId="0" applyAlignment="1" applyBorder="1" applyFont="1">
      <alignment readingOrder="0" vertical="center"/>
    </xf>
    <xf borderId="39" fillId="0" fontId="31" numFmtId="3" xfId="0" applyAlignment="1" applyBorder="1" applyFont="1" applyNumberFormat="1">
      <alignment readingOrder="0" shrinkToFit="0" vertical="center" wrapText="1"/>
    </xf>
    <xf borderId="39" fillId="0" fontId="27" numFmtId="3" xfId="0" applyAlignment="1" applyBorder="1" applyFont="1" applyNumberFormat="1">
      <alignment horizontal="center" readingOrder="0" shrinkToFit="0" vertical="center" wrapText="1"/>
    </xf>
    <xf borderId="0" fillId="0" fontId="27" numFmtId="0" xfId="0" applyFont="1"/>
    <xf borderId="0" fillId="0" fontId="31" numFmtId="173" xfId="0" applyAlignment="1" applyFont="1" applyNumberFormat="1">
      <alignment vertical="center"/>
    </xf>
    <xf borderId="28" fillId="0" fontId="31" numFmtId="0" xfId="0" applyAlignment="1" applyBorder="1" applyFont="1">
      <alignment shrinkToFit="0" vertical="center" wrapText="1"/>
    </xf>
    <xf borderId="32" fillId="0" fontId="31" numFmtId="0" xfId="0" applyAlignment="1" applyBorder="1" applyFont="1">
      <alignment horizontal="center" vertical="center"/>
    </xf>
    <xf borderId="32" fillId="0" fontId="27" numFmtId="10" xfId="0" applyAlignment="1" applyBorder="1" applyFont="1" applyNumberFormat="1">
      <alignment shrinkToFit="0" vertical="center" wrapText="1"/>
    </xf>
    <xf borderId="32" fillId="0" fontId="27" numFmtId="0" xfId="0" applyAlignment="1" applyBorder="1" applyFont="1">
      <alignment horizontal="center" shrinkToFit="0" vertical="center" wrapText="1"/>
    </xf>
    <xf borderId="81" fillId="0" fontId="27" numFmtId="0" xfId="0" applyAlignment="1" applyBorder="1" applyFont="1">
      <alignment horizontal="right" vertical="center"/>
    </xf>
    <xf borderId="112" fillId="0" fontId="27" numFmtId="0" xfId="0" applyAlignment="1" applyBorder="1" applyFont="1">
      <alignment shrinkToFit="0" vertical="center" wrapText="1"/>
    </xf>
    <xf borderId="112" fillId="0" fontId="27" numFmtId="0" xfId="0" applyAlignment="1" applyBorder="1" applyFont="1">
      <alignment horizontal="center" shrinkToFit="0" vertical="center" wrapText="1"/>
    </xf>
    <xf borderId="112" fillId="0" fontId="27" numFmtId="3" xfId="0" applyAlignment="1" applyBorder="1" applyFont="1" applyNumberFormat="1">
      <alignment horizontal="center" shrinkToFit="0" vertical="center" wrapText="1"/>
    </xf>
    <xf borderId="113" fillId="0" fontId="27" numFmtId="3" xfId="0" applyAlignment="1" applyBorder="1" applyFont="1" applyNumberFormat="1">
      <alignment horizontal="left" shrinkToFit="0" vertical="center" wrapText="1"/>
    </xf>
    <xf borderId="0" fillId="0" fontId="49" numFmtId="173" xfId="0" applyAlignment="1" applyFont="1" applyNumberFormat="1">
      <alignment readingOrder="0"/>
    </xf>
    <xf borderId="114" fillId="0" fontId="31" numFmtId="0" xfId="0" applyAlignment="1" applyBorder="1" applyFont="1">
      <alignment horizontal="right" readingOrder="0" vertical="center"/>
    </xf>
    <xf borderId="37" fillId="0" fontId="31" numFmtId="4" xfId="0" applyAlignment="1" applyBorder="1" applyFont="1" applyNumberFormat="1">
      <alignment readingOrder="0" vertical="center"/>
    </xf>
    <xf borderId="37" fillId="0" fontId="31" numFmtId="3" xfId="0" applyAlignment="1" applyBorder="1" applyFont="1" applyNumberFormat="1">
      <alignment horizontal="right" readingOrder="0" vertical="center"/>
    </xf>
    <xf borderId="37" fillId="0" fontId="31" numFmtId="169" xfId="0" applyAlignment="1" applyBorder="1" applyFont="1" applyNumberFormat="1">
      <alignment horizontal="center" readingOrder="0" vertical="center"/>
    </xf>
    <xf borderId="62" fillId="0" fontId="31" numFmtId="3" xfId="0" applyAlignment="1" applyBorder="1" applyFont="1" applyNumberFormat="1">
      <alignment horizontal="center" readingOrder="0" shrinkToFit="0" vertical="center" wrapText="1"/>
    </xf>
    <xf borderId="115" fillId="13" fontId="44" numFmtId="4" xfId="0" applyAlignment="1" applyBorder="1" applyFont="1" applyNumberFormat="1">
      <alignment vertical="center"/>
    </xf>
    <xf borderId="93" fillId="13" fontId="44" numFmtId="4" xfId="0" applyAlignment="1" applyBorder="1" applyFont="1" applyNumberFormat="1">
      <alignment vertical="center"/>
    </xf>
    <xf borderId="116" fillId="13" fontId="31" numFmtId="3" xfId="0" applyAlignment="1" applyBorder="1" applyFont="1" applyNumberFormat="1">
      <alignment vertical="center"/>
    </xf>
    <xf borderId="91" fillId="13" fontId="31" numFmtId="3" xfId="0" applyAlignment="1" applyBorder="1" applyFont="1" applyNumberFormat="1">
      <alignment vertical="center"/>
    </xf>
    <xf borderId="0" fillId="0" fontId="55" numFmtId="4" xfId="0" applyAlignment="1" applyFont="1" applyNumberFormat="1">
      <alignment vertical="center"/>
    </xf>
    <xf borderId="101" fillId="0" fontId="27" numFmtId="0" xfId="0" applyAlignment="1" applyBorder="1" applyFont="1">
      <alignment readingOrder="0" shrinkToFit="0" vertical="center" wrapText="1"/>
    </xf>
    <xf borderId="101" fillId="0" fontId="27" numFmtId="3" xfId="0" applyAlignment="1" applyBorder="1" applyFont="1" applyNumberFormat="1">
      <alignment shrinkToFit="0" vertical="center" wrapText="1"/>
    </xf>
    <xf borderId="117" fillId="0" fontId="27" numFmtId="3" xfId="0" applyAlignment="1" applyBorder="1" applyFont="1" applyNumberFormat="1">
      <alignment horizontal="left" shrinkToFit="0" vertical="center" wrapText="1"/>
    </xf>
    <xf borderId="39" fillId="0" fontId="31" numFmtId="1" xfId="0" applyAlignment="1" applyBorder="1" applyFont="1" applyNumberFormat="1">
      <alignment readingOrder="0" shrinkToFit="0" vertical="center" wrapText="1"/>
    </xf>
    <xf borderId="112" fillId="0" fontId="31" numFmtId="4" xfId="0" applyAlignment="1" applyBorder="1" applyFont="1" applyNumberFormat="1">
      <alignment readingOrder="0" vertical="center"/>
    </xf>
    <xf borderId="39" fillId="0" fontId="31" numFmtId="0" xfId="0" applyAlignment="1" applyBorder="1" applyFont="1">
      <alignment horizontal="center" readingOrder="0" vertical="center"/>
    </xf>
    <xf borderId="0" fillId="0" fontId="31" numFmtId="3" xfId="0" applyFont="1" applyNumberFormat="1"/>
    <xf borderId="50" fillId="0" fontId="31" numFmtId="9" xfId="0" applyAlignment="1" applyBorder="1" applyFont="1" applyNumberFormat="1">
      <alignment horizontal="center" vertical="center"/>
    </xf>
    <xf borderId="112" fillId="0" fontId="31" numFmtId="3" xfId="0" applyAlignment="1" applyBorder="1" applyFont="1" applyNumberFormat="1">
      <alignment readingOrder="0" shrinkToFit="0" vertical="center" wrapText="1"/>
    </xf>
    <xf borderId="39" fillId="0" fontId="31" numFmtId="4" xfId="0" applyAlignment="1" applyBorder="1" applyFont="1" applyNumberFormat="1">
      <alignment readingOrder="0" vertical="center"/>
    </xf>
    <xf borderId="32" fillId="0" fontId="31" numFmtId="9" xfId="0" applyAlignment="1" applyBorder="1" applyFont="1" applyNumberFormat="1">
      <alignment horizontal="center" vertical="center"/>
    </xf>
    <xf borderId="112" fillId="0" fontId="31" numFmtId="0" xfId="0" applyAlignment="1" applyBorder="1" applyFont="1">
      <alignment shrinkToFit="0" vertical="center" wrapText="1"/>
    </xf>
    <xf borderId="50" fillId="0" fontId="31" numFmtId="0" xfId="0" applyAlignment="1" applyBorder="1" applyFont="1">
      <alignment horizontal="center" readingOrder="0" vertical="center"/>
    </xf>
    <xf borderId="112" fillId="0" fontId="31" numFmtId="3" xfId="0" applyAlignment="1" applyBorder="1" applyFont="1" applyNumberFormat="1">
      <alignment shrinkToFit="0" vertical="center" wrapText="1"/>
    </xf>
    <xf borderId="112" fillId="0" fontId="31" numFmtId="0" xfId="0" applyAlignment="1" applyBorder="1" applyFont="1">
      <alignment readingOrder="0" shrinkToFit="0" vertical="center" wrapText="1"/>
    </xf>
    <xf borderId="0" fillId="0" fontId="34" numFmtId="0" xfId="0" applyFont="1"/>
    <xf borderId="32" fillId="0" fontId="27" numFmtId="9" xfId="0" applyAlignment="1" applyBorder="1" applyFont="1" applyNumberFormat="1">
      <alignment horizontal="center" vertical="center"/>
    </xf>
    <xf borderId="32" fillId="0" fontId="31" numFmtId="0" xfId="0" applyAlignment="1" applyBorder="1" applyFont="1">
      <alignment horizontal="center" readingOrder="0" vertical="center"/>
    </xf>
    <xf borderId="61" fillId="0" fontId="27" numFmtId="0" xfId="0" applyAlignment="1" applyBorder="1" applyFont="1">
      <alignment shrinkToFit="0" vertical="center" wrapText="1"/>
    </xf>
    <xf borderId="61" fillId="0" fontId="27" numFmtId="0" xfId="0" applyAlignment="1" applyBorder="1" applyFont="1">
      <alignment horizontal="center" shrinkToFit="0" vertical="center" wrapText="1"/>
    </xf>
    <xf borderId="61" fillId="0" fontId="27" numFmtId="3" xfId="0" applyAlignment="1" applyBorder="1" applyFont="1" applyNumberFormat="1">
      <alignment horizontal="center" shrinkToFit="0" vertical="center" wrapText="1"/>
    </xf>
    <xf borderId="61" fillId="0" fontId="27" numFmtId="3" xfId="0" applyAlignment="1" applyBorder="1" applyFont="1" applyNumberFormat="1">
      <alignment shrinkToFit="0" vertical="center" wrapText="1"/>
    </xf>
    <xf borderId="0" fillId="0" fontId="31" numFmtId="168" xfId="0" applyFont="1" applyNumberFormat="1"/>
    <xf borderId="39" fillId="0" fontId="31" numFmtId="1" xfId="0" applyAlignment="1" applyBorder="1" applyFont="1" applyNumberFormat="1">
      <alignment shrinkToFit="0" vertical="center" wrapText="1"/>
    </xf>
    <xf borderId="61" fillId="0" fontId="31" numFmtId="0" xfId="0" applyAlignment="1" applyBorder="1" applyFont="1">
      <alignment horizontal="center" readingOrder="0" shrinkToFit="0" vertical="center" wrapText="1"/>
    </xf>
    <xf borderId="61" fillId="0" fontId="31" numFmtId="3" xfId="0" applyAlignment="1" applyBorder="1" applyFont="1" applyNumberFormat="1">
      <alignment horizontal="center" readingOrder="0" shrinkToFit="0" vertical="center" wrapText="1"/>
    </xf>
    <xf borderId="61" fillId="0" fontId="31" numFmtId="3" xfId="0" applyAlignment="1" applyBorder="1" applyFont="1" applyNumberFormat="1">
      <alignment readingOrder="0" shrinkToFit="0" vertical="center" wrapText="1"/>
    </xf>
    <xf borderId="0" fillId="0" fontId="31" numFmtId="0" xfId="0" applyAlignment="1" applyFont="1">
      <alignment horizontal="right" readingOrder="0"/>
    </xf>
    <xf borderId="102" fillId="0" fontId="31" numFmtId="3" xfId="0" applyAlignment="1" applyBorder="1" applyFont="1" applyNumberFormat="1">
      <alignment shrinkToFit="0" vertical="center" wrapText="1"/>
    </xf>
    <xf borderId="0" fillId="0" fontId="31" numFmtId="10" xfId="0" applyFont="1" applyNumberFormat="1"/>
    <xf borderId="112" fillId="0" fontId="31" numFmtId="0" xfId="0" applyAlignment="1" applyBorder="1" applyFont="1">
      <alignment horizontal="center" readingOrder="0" shrinkToFit="0" vertical="center" wrapText="1"/>
    </xf>
    <xf borderId="112" fillId="0" fontId="31" numFmtId="0" xfId="0" applyAlignment="1" applyBorder="1" applyFont="1">
      <alignment horizontal="center" shrinkToFit="0" vertical="center" wrapText="1"/>
    </xf>
    <xf borderId="118" fillId="0" fontId="6" numFmtId="169" xfId="0" applyAlignment="1" applyBorder="1" applyFont="1" applyNumberFormat="1">
      <alignment horizontal="center" readingOrder="0"/>
    </xf>
    <xf borderId="98" fillId="0" fontId="6" numFmtId="4" xfId="0" applyAlignment="1" applyBorder="1" applyFont="1" applyNumberFormat="1">
      <alignment readingOrder="0"/>
    </xf>
    <xf borderId="98" fillId="0" fontId="48" numFmtId="169" xfId="0" applyBorder="1" applyFont="1" applyNumberFormat="1"/>
    <xf borderId="98" fillId="0" fontId="48" numFmtId="3" xfId="0" applyAlignment="1" applyBorder="1" applyFont="1" applyNumberFormat="1">
      <alignment horizontal="center"/>
    </xf>
    <xf borderId="0" fillId="0" fontId="27" numFmtId="3" xfId="0" applyAlignment="1" applyFont="1" applyNumberFormat="1">
      <alignment vertical="center"/>
    </xf>
    <xf borderId="85" fillId="0" fontId="31" numFmtId="0" xfId="0" applyAlignment="1" applyBorder="1" applyFont="1">
      <alignment horizontal="right" vertical="center"/>
    </xf>
    <xf borderId="85" fillId="0" fontId="31" numFmtId="0" xfId="0" applyAlignment="1" applyBorder="1" applyFont="1">
      <alignment shrinkToFit="0" vertical="center" wrapText="1"/>
    </xf>
    <xf borderId="85" fillId="0" fontId="31" numFmtId="0" xfId="0" applyAlignment="1" applyBorder="1" applyFont="1">
      <alignment horizontal="center" shrinkToFit="0" vertical="center" wrapText="1"/>
    </xf>
    <xf borderId="85" fillId="0" fontId="31" numFmtId="3" xfId="0" applyAlignment="1" applyBorder="1" applyFont="1" applyNumberFormat="1">
      <alignment horizontal="center" shrinkToFit="0" vertical="center" wrapText="1"/>
    </xf>
    <xf borderId="85" fillId="0" fontId="31" numFmtId="3" xfId="0" applyAlignment="1" applyBorder="1" applyFont="1" applyNumberFormat="1">
      <alignment shrinkToFit="0" vertical="center" wrapText="1"/>
    </xf>
    <xf borderId="76" fillId="0" fontId="27" numFmtId="0" xfId="0" applyAlignment="1" applyBorder="1" applyFont="1">
      <alignment horizontal="right" vertical="center"/>
    </xf>
    <xf borderId="39" fillId="0" fontId="31" numFmtId="4" xfId="0" applyAlignment="1" applyBorder="1" applyFont="1" applyNumberFormat="1">
      <alignment readingOrder="0" shrinkToFit="0" vertical="center" wrapText="1"/>
    </xf>
    <xf borderId="39" fillId="0" fontId="31" numFmtId="4" xfId="0" applyAlignment="1" applyBorder="1" applyFont="1" applyNumberFormat="1">
      <alignment shrinkToFit="0" vertical="center" wrapText="1"/>
    </xf>
    <xf borderId="39" fillId="0" fontId="47" numFmtId="0" xfId="0" applyAlignment="1" applyBorder="1" applyFont="1">
      <alignment readingOrder="0" shrinkToFit="0" vertical="center" wrapText="1"/>
    </xf>
    <xf borderId="39" fillId="0" fontId="47" numFmtId="3" xfId="0" applyAlignment="1" applyBorder="1" applyFont="1" applyNumberFormat="1">
      <alignment readingOrder="0" shrinkToFit="0" vertical="center" wrapText="1"/>
    </xf>
    <xf borderId="39" fillId="0" fontId="43" numFmtId="0" xfId="0" applyAlignment="1" applyBorder="1" applyFont="1">
      <alignment shrinkToFit="0" vertical="center" wrapText="1"/>
    </xf>
    <xf borderId="39" fillId="0" fontId="43" numFmtId="0" xfId="0" applyAlignment="1" applyBorder="1" applyFont="1">
      <alignment horizontal="center" shrinkToFit="0" vertical="center" wrapText="1"/>
    </xf>
    <xf borderId="39" fillId="0" fontId="43" numFmtId="3" xfId="0" applyAlignment="1" applyBorder="1" applyFont="1" applyNumberFormat="1">
      <alignment horizontal="center" readingOrder="0" shrinkToFit="0" vertical="center" wrapText="1"/>
    </xf>
    <xf borderId="39" fillId="0" fontId="43" numFmtId="3" xfId="0" applyAlignment="1" applyBorder="1" applyFont="1" applyNumberFormat="1">
      <alignment shrinkToFit="0" vertical="center" wrapText="1"/>
    </xf>
    <xf borderId="77" fillId="0" fontId="43" numFmtId="3" xfId="0" applyAlignment="1" applyBorder="1" applyFont="1" applyNumberFormat="1">
      <alignment shrinkToFit="0" vertical="center" wrapText="1"/>
    </xf>
    <xf borderId="39" fillId="0" fontId="31" numFmtId="0" xfId="0" applyAlignment="1" applyBorder="1" applyFont="1">
      <alignment readingOrder="0" shrinkToFit="0" wrapText="1"/>
    </xf>
    <xf borderId="50" fillId="0" fontId="31" numFmtId="4" xfId="0" applyAlignment="1" applyBorder="1" applyFont="1" applyNumberFormat="1">
      <alignment shrinkToFit="0" wrapText="1"/>
    </xf>
    <xf borderId="50" fillId="0" fontId="31" numFmtId="0" xfId="0" applyBorder="1" applyFont="1"/>
    <xf borderId="39" fillId="0" fontId="27" numFmtId="175" xfId="0" applyAlignment="1" applyBorder="1" applyFont="1" applyNumberFormat="1">
      <alignment horizontal="center" shrinkToFit="0" vertical="center" wrapText="1"/>
    </xf>
    <xf borderId="61" fillId="0" fontId="31" numFmtId="0" xfId="0" applyAlignment="1" applyBorder="1" applyFont="1">
      <alignment shrinkToFit="0" vertical="center" wrapText="1"/>
    </xf>
    <xf borderId="61" fillId="0" fontId="31" numFmtId="0" xfId="0" applyAlignment="1" applyBorder="1" applyFont="1">
      <alignment readingOrder="0" shrinkToFit="0" vertical="center" wrapText="1"/>
    </xf>
    <xf borderId="61" fillId="0" fontId="31" numFmtId="175" xfId="0" applyAlignment="1" applyBorder="1" applyFont="1" applyNumberFormat="1">
      <alignment horizontal="center" shrinkToFit="0" vertical="center" wrapText="1"/>
    </xf>
    <xf borderId="61" fillId="0" fontId="31" numFmtId="3" xfId="0" applyAlignment="1" applyBorder="1" applyFont="1" applyNumberFormat="1">
      <alignment horizontal="center" shrinkToFit="0" vertical="center" wrapText="1"/>
    </xf>
    <xf borderId="61" fillId="0" fontId="31" numFmtId="3" xfId="0" applyAlignment="1" applyBorder="1" applyFont="1" applyNumberFormat="1">
      <alignment shrinkToFit="0" vertical="center" wrapText="1"/>
    </xf>
    <xf borderId="32" fillId="0" fontId="31" numFmtId="175" xfId="0" applyAlignment="1" applyBorder="1" applyFont="1" applyNumberFormat="1">
      <alignment horizontal="center" shrinkToFit="0" vertical="center" wrapText="1"/>
    </xf>
    <xf borderId="32" fillId="0" fontId="33" numFmtId="0" xfId="0" applyAlignment="1" applyBorder="1" applyFont="1">
      <alignment readingOrder="0" shrinkToFit="0" vertical="center" wrapText="1"/>
    </xf>
    <xf borderId="61" fillId="0" fontId="31" numFmtId="175" xfId="0" applyAlignment="1" applyBorder="1" applyFont="1" applyNumberFormat="1">
      <alignment horizontal="center" readingOrder="0" shrinkToFit="0" vertical="center" wrapText="1"/>
    </xf>
    <xf borderId="61" fillId="0" fontId="27" numFmtId="0" xfId="0" applyAlignment="1" applyBorder="1" applyFont="1">
      <alignment readingOrder="0" shrinkToFit="0" vertical="center" wrapText="1"/>
    </xf>
    <xf borderId="39" fillId="0" fontId="31" numFmtId="175" xfId="0" applyAlignment="1" applyBorder="1" applyFont="1" applyNumberFormat="1">
      <alignment horizontal="center" shrinkToFit="0" vertical="center" wrapText="1"/>
    </xf>
    <xf borderId="39" fillId="0" fontId="31" numFmtId="175" xfId="0" applyAlignment="1" applyBorder="1" applyFont="1" applyNumberFormat="1">
      <alignment horizontal="center" readingOrder="0" shrinkToFit="0" vertical="center" wrapText="1"/>
    </xf>
    <xf borderId="32" fillId="0" fontId="31" numFmtId="175" xfId="0" applyAlignment="1" applyBorder="1" applyFont="1" applyNumberFormat="1">
      <alignment horizontal="center" readingOrder="0" shrinkToFit="0" vertical="center" wrapText="1"/>
    </xf>
    <xf borderId="112" fillId="0" fontId="31" numFmtId="0" xfId="0" applyAlignment="1" applyBorder="1" applyFont="1">
      <alignment readingOrder="0" vertical="center"/>
    </xf>
    <xf borderId="81" fillId="0" fontId="27" numFmtId="0" xfId="0" applyAlignment="1" applyBorder="1" applyFont="1">
      <alignment horizontal="right" readingOrder="0" vertical="center"/>
    </xf>
    <xf borderId="112" fillId="0" fontId="27" numFmtId="0" xfId="0" applyAlignment="1" applyBorder="1" applyFont="1">
      <alignment readingOrder="0" vertical="center"/>
    </xf>
    <xf borderId="32" fillId="0" fontId="27" numFmtId="175" xfId="0" applyAlignment="1" applyBorder="1" applyFont="1" applyNumberFormat="1">
      <alignment horizontal="center" shrinkToFit="0" vertical="center" wrapText="1"/>
    </xf>
    <xf borderId="32" fillId="0" fontId="27" numFmtId="3" xfId="0" applyAlignment="1" applyBorder="1" applyFont="1" applyNumberFormat="1">
      <alignment horizontal="center" readingOrder="0" shrinkToFit="0" vertical="center" wrapText="1"/>
    </xf>
    <xf borderId="28" fillId="0" fontId="31" numFmtId="175" xfId="0" applyAlignment="1" applyBorder="1" applyFont="1" applyNumberFormat="1">
      <alignment horizontal="center" shrinkToFit="0" vertical="center" wrapText="1"/>
    </xf>
    <xf borderId="28" fillId="0" fontId="31" numFmtId="3" xfId="0" applyAlignment="1" applyBorder="1" applyFont="1" applyNumberFormat="1">
      <alignment horizontal="center" shrinkToFit="0" vertical="center" wrapText="1"/>
    </xf>
    <xf borderId="28" fillId="0" fontId="31" numFmtId="3" xfId="0" applyAlignment="1" applyBorder="1" applyFont="1" applyNumberFormat="1">
      <alignment shrinkToFit="0" vertical="center" wrapText="1"/>
    </xf>
    <xf borderId="109" fillId="0" fontId="31" numFmtId="3" xfId="0" applyAlignment="1" applyBorder="1" applyFont="1" applyNumberFormat="1">
      <alignment horizontal="right" shrinkToFit="0" vertical="center" wrapText="1"/>
    </xf>
    <xf borderId="99" fillId="0" fontId="6" numFmtId="3" xfId="0" applyAlignment="1" applyBorder="1" applyFont="1" applyNumberFormat="1">
      <alignment horizontal="right"/>
    </xf>
    <xf borderId="64" fillId="0" fontId="42" numFmtId="0" xfId="0" applyAlignment="1" applyBorder="1" applyFont="1">
      <alignment vertical="center"/>
    </xf>
    <xf borderId="65" fillId="0" fontId="48" numFmtId="0" xfId="0" applyAlignment="1" applyBorder="1" applyFont="1">
      <alignment readingOrder="0" vertical="center"/>
    </xf>
    <xf borderId="65" fillId="0" fontId="48" numFmtId="0" xfId="0" applyAlignment="1" applyBorder="1" applyFont="1">
      <alignment vertical="center"/>
    </xf>
    <xf borderId="65" fillId="0" fontId="48" numFmtId="0" xfId="0" applyAlignment="1" applyBorder="1" applyFont="1">
      <alignment horizontal="center" vertical="center"/>
    </xf>
    <xf borderId="65" fillId="0" fontId="48" numFmtId="3" xfId="0" applyAlignment="1" applyBorder="1" applyFont="1" applyNumberFormat="1">
      <alignment horizontal="center" vertical="center"/>
    </xf>
    <xf borderId="65" fillId="0" fontId="48" numFmtId="3" xfId="0" applyAlignment="1" applyBorder="1" applyFont="1" applyNumberFormat="1">
      <alignment vertical="center"/>
    </xf>
    <xf borderId="67" fillId="0" fontId="48" numFmtId="3" xfId="0" applyAlignment="1" applyBorder="1" applyFont="1" applyNumberFormat="1">
      <alignment horizontal="right" vertical="center"/>
    </xf>
    <xf borderId="72" fillId="0" fontId="42" numFmtId="169" xfId="0" applyAlignment="1" applyBorder="1" applyFont="1" applyNumberFormat="1">
      <alignment horizontal="center" vertical="center"/>
    </xf>
    <xf borderId="16" fillId="0" fontId="48" numFmtId="0" xfId="0" applyAlignment="1" applyBorder="1" applyFont="1">
      <alignment readingOrder="0" vertical="center"/>
    </xf>
    <xf borderId="16" fillId="0" fontId="48" numFmtId="168" xfId="0" applyAlignment="1" applyBorder="1" applyFont="1" applyNumberFormat="1">
      <alignment horizontal="center" vertical="center"/>
    </xf>
    <xf borderId="16" fillId="0" fontId="48" numFmtId="169" xfId="0" applyAlignment="1" applyBorder="1" applyFont="1" applyNumberFormat="1">
      <alignment horizontal="center" vertical="center"/>
    </xf>
    <xf borderId="16" fillId="0" fontId="48" numFmtId="3" xfId="0" applyAlignment="1" applyBorder="1" applyFont="1" applyNumberFormat="1">
      <alignment horizontal="center" vertical="center"/>
    </xf>
    <xf borderId="6" fillId="0" fontId="48" numFmtId="3" xfId="0" applyAlignment="1" applyBorder="1" applyFont="1" applyNumberFormat="1">
      <alignment horizontal="right" vertical="center"/>
    </xf>
    <xf borderId="73" fillId="0" fontId="48" numFmtId="3" xfId="0" applyAlignment="1" applyBorder="1" applyFont="1" applyNumberFormat="1">
      <alignment horizontal="right" vertical="center"/>
    </xf>
    <xf borderId="119" fillId="0" fontId="42" numFmtId="169" xfId="0" applyAlignment="1" applyBorder="1" applyFont="1" applyNumberFormat="1">
      <alignment horizontal="center" vertical="center"/>
    </xf>
    <xf borderId="17" fillId="0" fontId="48" numFmtId="4" xfId="0" applyAlignment="1" applyBorder="1" applyFont="1" applyNumberFormat="1">
      <alignment readingOrder="0" vertical="center"/>
    </xf>
    <xf borderId="17" fillId="0" fontId="48" numFmtId="168" xfId="0" applyAlignment="1" applyBorder="1" applyFont="1" applyNumberFormat="1">
      <alignment horizontal="center" vertical="center"/>
    </xf>
    <xf borderId="17" fillId="0" fontId="48" numFmtId="169" xfId="0" applyAlignment="1" applyBorder="1" applyFont="1" applyNumberFormat="1">
      <alignment horizontal="center" vertical="center"/>
    </xf>
    <xf borderId="17" fillId="0" fontId="48" numFmtId="3" xfId="0" applyAlignment="1" applyBorder="1" applyFont="1" applyNumberFormat="1">
      <alignment horizontal="center" vertical="center"/>
    </xf>
    <xf borderId="18" fillId="0" fontId="48" numFmtId="3" xfId="0" applyAlignment="1" applyBorder="1" applyFont="1" applyNumberFormat="1">
      <alignment horizontal="right" vertical="center"/>
    </xf>
    <xf borderId="120" fillId="0" fontId="48" numFmtId="3" xfId="0" applyAlignment="1" applyBorder="1" applyFont="1" applyNumberFormat="1">
      <alignment horizontal="right" vertical="center"/>
    </xf>
    <xf borderId="118" fillId="0" fontId="44" numFmtId="169" xfId="0" applyAlignment="1" applyBorder="1" applyFont="1" applyNumberFormat="1">
      <alignment horizontal="center" vertical="center"/>
    </xf>
    <xf borderId="121" fillId="0" fontId="6" numFmtId="4" xfId="0" applyAlignment="1" applyBorder="1" applyFont="1" applyNumberFormat="1">
      <alignment readingOrder="0" vertical="center"/>
    </xf>
    <xf borderId="121" fillId="0" fontId="48" numFmtId="168" xfId="0" applyAlignment="1" applyBorder="1" applyFont="1" applyNumberFormat="1">
      <alignment horizontal="center" vertical="center"/>
    </xf>
    <xf borderId="121" fillId="0" fontId="6" numFmtId="169" xfId="0" applyAlignment="1" applyBorder="1" applyFont="1" applyNumberFormat="1">
      <alignment horizontal="center" vertical="center"/>
    </xf>
    <xf borderId="121" fillId="0" fontId="6" numFmtId="3" xfId="0" applyAlignment="1" applyBorder="1" applyFont="1" applyNumberFormat="1">
      <alignment horizontal="center" vertical="center"/>
    </xf>
    <xf borderId="97" fillId="0" fontId="48" numFmtId="3" xfId="0" applyAlignment="1" applyBorder="1" applyFont="1" applyNumberFormat="1">
      <alignment horizontal="right" vertical="center"/>
    </xf>
    <xf borderId="122" fillId="0" fontId="6" numFmtId="3" xfId="0" applyAlignment="1" applyBorder="1" applyFont="1" applyNumberFormat="1">
      <alignment horizontal="right" vertical="center"/>
    </xf>
    <xf borderId="0" fillId="0" fontId="44" numFmtId="169" xfId="0" applyAlignment="1" applyFont="1" applyNumberFormat="1">
      <alignment horizontal="center" vertical="center"/>
    </xf>
    <xf borderId="0" fillId="0" fontId="6" numFmtId="4" xfId="0" applyAlignment="1" applyFont="1" applyNumberFormat="1">
      <alignment vertical="center"/>
    </xf>
    <xf borderId="0" fillId="0" fontId="48" numFmtId="168" xfId="0" applyAlignment="1" applyFont="1" applyNumberFormat="1">
      <alignment horizontal="center" vertical="center"/>
    </xf>
    <xf borderId="0" fillId="0" fontId="6" numFmtId="169" xfId="0" applyAlignment="1" applyFont="1" applyNumberFormat="1">
      <alignment horizontal="center" vertical="center"/>
    </xf>
    <xf borderId="0" fillId="0" fontId="6" numFmtId="3" xfId="0" applyAlignment="1" applyFont="1" applyNumberFormat="1">
      <alignment horizontal="center" vertical="center"/>
    </xf>
    <xf borderId="0" fillId="0" fontId="48" numFmtId="3" xfId="0" applyAlignment="1" applyFont="1" applyNumberFormat="1">
      <alignment horizontal="right" vertical="center"/>
    </xf>
    <xf borderId="0" fillId="0" fontId="6" numFmtId="3" xfId="0" applyAlignment="1" applyFont="1" applyNumberFormat="1">
      <alignment horizontal="right" vertical="center"/>
    </xf>
    <xf borderId="64" fillId="0" fontId="42" numFmtId="169" xfId="0" applyAlignment="1" applyBorder="1" applyFont="1" applyNumberFormat="1">
      <alignment horizontal="center" vertical="center"/>
    </xf>
    <xf borderId="65" fillId="0" fontId="48" numFmtId="4" xfId="0" applyAlignment="1" applyBorder="1" applyFont="1" applyNumberFormat="1">
      <alignment vertical="center"/>
    </xf>
    <xf borderId="65" fillId="0" fontId="48" numFmtId="168" xfId="0" applyAlignment="1" applyBorder="1" applyFont="1" applyNumberFormat="1">
      <alignment horizontal="center" vertical="center"/>
    </xf>
    <xf borderId="65" fillId="0" fontId="48" numFmtId="169" xfId="0" applyAlignment="1" applyBorder="1" applyFont="1" applyNumberFormat="1">
      <alignment horizontal="center" vertical="center"/>
    </xf>
    <xf borderId="123" fillId="0" fontId="59" numFmtId="3" xfId="0" applyAlignment="1" applyBorder="1" applyFont="1" applyNumberFormat="1">
      <alignment horizontal="right" vertical="center"/>
    </xf>
    <xf borderId="72" fillId="0" fontId="42" numFmtId="4" xfId="0" applyAlignment="1" applyBorder="1" applyFont="1" applyNumberFormat="1">
      <alignment vertical="center"/>
    </xf>
    <xf borderId="16" fillId="0" fontId="48" numFmtId="4" xfId="0" applyAlignment="1" applyBorder="1" applyFont="1" applyNumberFormat="1">
      <alignment readingOrder="0" vertical="center"/>
    </xf>
    <xf borderId="16" fillId="0" fontId="59" numFmtId="3" xfId="0" applyAlignment="1" applyBorder="1" applyFont="1" applyNumberFormat="1">
      <alignment horizontal="right" vertical="center"/>
    </xf>
    <xf borderId="94" fillId="0" fontId="42" numFmtId="4" xfId="0" applyAlignment="1" applyBorder="1" applyFont="1" applyNumberFormat="1">
      <alignment vertical="center"/>
    </xf>
    <xf borderId="124" fillId="0" fontId="48" numFmtId="4" xfId="0" applyAlignment="1" applyBorder="1" applyFont="1" applyNumberFormat="1">
      <alignment readingOrder="0" vertical="center"/>
    </xf>
    <xf borderId="124" fillId="0" fontId="48" numFmtId="168" xfId="0" applyAlignment="1" applyBorder="1" applyFont="1" applyNumberFormat="1">
      <alignment horizontal="center" readingOrder="0" vertical="center"/>
    </xf>
    <xf borderId="124" fillId="0" fontId="48" numFmtId="169" xfId="0" applyAlignment="1" applyBorder="1" applyFont="1" applyNumberFormat="1">
      <alignment horizontal="center" vertical="center"/>
    </xf>
    <xf borderId="124" fillId="0" fontId="48" numFmtId="3" xfId="0" applyAlignment="1" applyBorder="1" applyFont="1" applyNumberFormat="1">
      <alignment horizontal="center" vertical="center"/>
    </xf>
    <xf borderId="124" fillId="0" fontId="48" numFmtId="3" xfId="0" applyAlignment="1" applyBorder="1" applyFont="1" applyNumberFormat="1">
      <alignment horizontal="right" vertical="center"/>
    </xf>
    <xf borderId="87" fillId="0" fontId="48" numFmtId="3" xfId="0" applyAlignment="1" applyBorder="1" applyFont="1" applyNumberFormat="1">
      <alignment horizontal="right" readingOrder="0" vertical="center"/>
    </xf>
    <xf borderId="118" fillId="0" fontId="44" numFmtId="0" xfId="0" applyAlignment="1" applyBorder="1" applyFont="1">
      <alignment vertical="center"/>
    </xf>
    <xf borderId="121" fillId="0" fontId="6" numFmtId="0" xfId="0" applyAlignment="1" applyBorder="1" applyFont="1">
      <alignment vertical="center"/>
    </xf>
    <xf borderId="121" fillId="0" fontId="6" numFmtId="0" xfId="0" applyAlignment="1" applyBorder="1" applyFont="1">
      <alignment horizontal="center" vertical="center"/>
    </xf>
    <xf borderId="121" fillId="0" fontId="6" numFmtId="3" xfId="0" applyAlignment="1" applyBorder="1" applyFont="1" applyNumberFormat="1">
      <alignment vertical="center"/>
    </xf>
    <xf borderId="0" fillId="2" fontId="60" numFmtId="0" xfId="0" applyAlignment="1" applyFont="1">
      <alignment readingOrder="0"/>
    </xf>
    <xf borderId="0" fillId="0" fontId="61" numFmtId="0" xfId="0" applyAlignment="1" applyFont="1">
      <alignment vertical="center"/>
    </xf>
    <xf borderId="0" fillId="2" fontId="60" numFmtId="0" xfId="0" applyFont="1"/>
    <xf borderId="0" fillId="0" fontId="5" numFmtId="0" xfId="0" applyAlignment="1" applyFont="1">
      <alignment vertical="center"/>
    </xf>
    <xf borderId="0" fillId="0" fontId="31" numFmtId="0" xfId="0" applyAlignment="1" applyFont="1">
      <alignment horizontal="left" readingOrder="0"/>
    </xf>
    <xf borderId="0" fillId="0" fontId="62" numFmtId="0" xfId="0" applyFont="1"/>
    <xf borderId="0" fillId="0" fontId="63" numFmtId="0" xfId="0" applyAlignment="1" applyFont="1">
      <alignment vertical="center"/>
    </xf>
    <xf borderId="0" fillId="0" fontId="64" numFmtId="0" xfId="0" applyAlignment="1" applyFont="1">
      <alignment vertical="center"/>
    </xf>
    <xf borderId="0" fillId="0" fontId="63" numFmtId="0" xfId="0" applyAlignment="1" applyFont="1">
      <alignment horizontal="center" vertical="center"/>
    </xf>
    <xf borderId="0" fillId="0" fontId="63" numFmtId="3" xfId="0" applyAlignment="1" applyFont="1" applyNumberFormat="1">
      <alignment horizontal="center" vertical="center"/>
    </xf>
    <xf borderId="0" fillId="0" fontId="64" numFmtId="3" xfId="0" applyAlignment="1" applyFont="1" applyNumberFormat="1">
      <alignment vertical="center"/>
    </xf>
    <xf borderId="0" fillId="0" fontId="63" numFmtId="3" xfId="0" applyAlignment="1" applyFont="1" applyNumberFormat="1">
      <alignment vertical="center"/>
    </xf>
    <xf borderId="0" fillId="0" fontId="63" numFmtId="0" xfId="0" applyFont="1"/>
    <xf borderId="0" fillId="0" fontId="64" numFmtId="0" xfId="0" applyFont="1"/>
    <xf borderId="0" fillId="0" fontId="42" numFmtId="0" xfId="0" applyFont="1"/>
    <xf borderId="0" fillId="0" fontId="31" numFmtId="0" xfId="0" applyAlignment="1" applyFont="1">
      <alignment horizontal="right"/>
    </xf>
    <xf borderId="0" fillId="0" fontId="6" numFmtId="0" xfId="0" applyAlignment="1" applyFont="1">
      <alignment horizontal="center"/>
    </xf>
    <xf borderId="0" fillId="0" fontId="27" numFmtId="170" xfId="0" applyAlignment="1" applyFont="1" applyNumberFormat="1">
      <alignment vertical="center"/>
    </xf>
    <xf borderId="0" fillId="0" fontId="27" numFmtId="171" xfId="0" applyAlignment="1" applyFont="1" applyNumberFormat="1">
      <alignment horizontal="left"/>
    </xf>
    <xf borderId="0" fillId="0" fontId="31" numFmtId="0" xfId="0" applyAlignment="1" applyFont="1">
      <alignment horizontal="left" vertical="center"/>
    </xf>
    <xf borderId="0" fillId="0" fontId="27" numFmtId="171" xfId="0" applyAlignment="1" applyFont="1" applyNumberFormat="1">
      <alignment vertical="center"/>
    </xf>
    <xf borderId="0" fillId="0" fontId="31" numFmtId="172" xfId="0" applyAlignment="1" applyFont="1" applyNumberFormat="1">
      <alignment horizontal="left"/>
    </xf>
    <xf borderId="0" fillId="0" fontId="27" numFmtId="171" xfId="0" applyAlignment="1" applyFont="1" applyNumberFormat="1">
      <alignment horizontal="right"/>
    </xf>
    <xf borderId="0" fillId="0" fontId="31" numFmtId="1" xfId="0" applyAlignment="1" applyFont="1" applyNumberFormat="1">
      <alignment horizontal="right"/>
    </xf>
    <xf borderId="0" fillId="0" fontId="31" numFmtId="169" xfId="0" applyAlignment="1" applyFont="1" applyNumberFormat="1">
      <alignment horizontal="left"/>
    </xf>
    <xf borderId="0" fillId="0" fontId="31" numFmtId="0" xfId="0" applyAlignment="1" applyFont="1">
      <alignment horizontal="right" vertical="center"/>
    </xf>
    <xf borderId="0" fillId="0" fontId="42" numFmtId="38" xfId="0" applyFont="1" applyNumberFormat="1"/>
    <xf borderId="16" fillId="0" fontId="65" numFmtId="0" xfId="0" applyAlignment="1" applyBorder="1" applyFont="1">
      <alignment horizontal="center" vertical="center"/>
    </xf>
    <xf borderId="3" fillId="0" fontId="66" numFmtId="0" xfId="0" applyAlignment="1" applyBorder="1" applyFont="1">
      <alignment horizontal="left" vertical="center"/>
    </xf>
    <xf borderId="6" fillId="0" fontId="66" numFmtId="0" xfId="0" applyAlignment="1" applyBorder="1" applyFont="1">
      <alignment horizontal="center" vertical="center"/>
    </xf>
    <xf borderId="6" fillId="0" fontId="65" numFmtId="0" xfId="0" applyAlignment="1" applyBorder="1" applyFont="1">
      <alignment horizontal="center" vertical="center"/>
    </xf>
    <xf borderId="4" fillId="0" fontId="65" numFmtId="169" xfId="0" applyAlignment="1" applyBorder="1" applyFont="1" applyNumberFormat="1">
      <alignment horizontal="center" vertical="center"/>
    </xf>
    <xf borderId="0" fillId="0" fontId="42" numFmtId="38" xfId="0" applyAlignment="1" applyFont="1" applyNumberFormat="1">
      <alignment vertical="center"/>
    </xf>
    <xf borderId="16" fillId="0" fontId="67" numFmtId="1" xfId="0" applyAlignment="1" applyBorder="1" applyFont="1" applyNumberFormat="1">
      <alignment horizontal="center" readingOrder="0" vertical="center"/>
    </xf>
    <xf borderId="3" fillId="0" fontId="67" numFmtId="4" xfId="0" applyAlignment="1" applyBorder="1" applyFont="1" applyNumberFormat="1">
      <alignment readingOrder="0" vertical="center"/>
    </xf>
    <xf borderId="6" fillId="0" fontId="67" numFmtId="4" xfId="0" applyAlignment="1" applyBorder="1" applyFont="1" applyNumberFormat="1">
      <alignment readingOrder="0" vertical="center"/>
    </xf>
    <xf borderId="6" fillId="0" fontId="67" numFmtId="0" xfId="0" applyAlignment="1" applyBorder="1" applyFont="1">
      <alignment horizontal="center" vertical="center"/>
    </xf>
    <xf borderId="4" fillId="0" fontId="67" numFmtId="169" xfId="0" applyAlignment="1" applyBorder="1" applyFont="1" applyNumberFormat="1">
      <alignment horizontal="right" vertical="center"/>
    </xf>
    <xf borderId="4" fillId="0" fontId="67" numFmtId="176" xfId="0" applyAlignment="1" applyBorder="1" applyFont="1" applyNumberFormat="1">
      <alignment vertical="center"/>
    </xf>
    <xf borderId="3" fillId="0" fontId="67" numFmtId="4" xfId="0" applyAlignment="1" applyBorder="1" applyFont="1" applyNumberFormat="1">
      <alignment vertical="center"/>
    </xf>
    <xf borderId="6" fillId="0" fontId="67" numFmtId="4" xfId="0" applyAlignment="1" applyBorder="1" applyFont="1" applyNumberFormat="1">
      <alignment vertical="center"/>
    </xf>
    <xf borderId="28" fillId="15" fontId="66" numFmtId="0" xfId="0" applyAlignment="1" applyBorder="1" applyFill="1" applyFont="1">
      <alignment horizontal="center" readingOrder="0"/>
    </xf>
    <xf borderId="3" fillId="15" fontId="66" numFmtId="0" xfId="0" applyAlignment="1" applyBorder="1" applyFont="1">
      <alignment readingOrder="0" vertical="center"/>
    </xf>
    <xf borderId="6" fillId="15" fontId="66" numFmtId="0" xfId="0" applyAlignment="1" applyBorder="1" applyFont="1">
      <alignment readingOrder="0" vertical="center"/>
    </xf>
    <xf borderId="6" fillId="15" fontId="66" numFmtId="0" xfId="0" applyAlignment="1" applyBorder="1" applyFont="1">
      <alignment horizontal="center" vertical="center"/>
    </xf>
    <xf borderId="4" fillId="15" fontId="66" numFmtId="169" xfId="0" applyAlignment="1" applyBorder="1" applyFont="1" applyNumberFormat="1">
      <alignment horizontal="right" vertical="center"/>
    </xf>
    <xf borderId="63" fillId="15" fontId="66" numFmtId="176" xfId="0" applyAlignment="1" applyBorder="1" applyFont="1" applyNumberFormat="1">
      <alignment vertical="center"/>
    </xf>
    <xf borderId="16" fillId="0" fontId="67" numFmtId="0" xfId="0" applyAlignment="1" applyBorder="1" applyFont="1">
      <alignment horizontal="center" vertical="center"/>
    </xf>
    <xf borderId="3" fillId="0" fontId="67" numFmtId="0" xfId="0" applyAlignment="1" applyBorder="1" applyFont="1">
      <alignment shrinkToFit="0" vertical="center" wrapText="1"/>
    </xf>
    <xf borderId="6" fillId="0" fontId="67" numFmtId="0" xfId="0" applyAlignment="1" applyBorder="1" applyFont="1">
      <alignment shrinkToFit="0" vertical="center" wrapText="1"/>
    </xf>
    <xf borderId="16" fillId="0" fontId="67" numFmtId="0" xfId="0" applyAlignment="1" applyBorder="1" applyFont="1">
      <alignment horizontal="center" readingOrder="0" vertical="center"/>
    </xf>
    <xf borderId="3" fillId="0" fontId="67" numFmtId="0" xfId="0" applyAlignment="1" applyBorder="1" applyFont="1">
      <alignment readingOrder="0" shrinkToFit="0" vertical="center" wrapText="1"/>
    </xf>
    <xf borderId="6" fillId="0" fontId="67" numFmtId="0" xfId="0" applyAlignment="1" applyBorder="1" applyFont="1">
      <alignment readingOrder="0" shrinkToFit="0" vertical="center" wrapText="1"/>
    </xf>
    <xf borderId="17" fillId="0" fontId="67" numFmtId="0" xfId="0" applyAlignment="1" applyBorder="1" applyFont="1">
      <alignment horizontal="center" vertical="center"/>
    </xf>
    <xf borderId="19" fillId="0" fontId="67" numFmtId="0" xfId="0" applyAlignment="1" applyBorder="1" applyFont="1">
      <alignment vertical="center"/>
    </xf>
    <xf borderId="18" fillId="0" fontId="67" numFmtId="0" xfId="0" applyAlignment="1" applyBorder="1" applyFont="1">
      <alignment vertical="center"/>
    </xf>
    <xf borderId="18" fillId="0" fontId="67" numFmtId="0" xfId="0" applyAlignment="1" applyBorder="1" applyFont="1">
      <alignment horizontal="center" vertical="center"/>
    </xf>
    <xf borderId="63" fillId="0" fontId="67" numFmtId="169" xfId="0" applyAlignment="1" applyBorder="1" applyFont="1" applyNumberFormat="1">
      <alignment horizontal="right" vertical="center"/>
    </xf>
    <xf borderId="125" fillId="0" fontId="66" numFmtId="0" xfId="0" applyAlignment="1" applyBorder="1" applyFont="1">
      <alignment horizontal="center"/>
    </xf>
    <xf borderId="126" fillId="0" fontId="66" numFmtId="4" xfId="0" applyAlignment="1" applyBorder="1" applyFont="1" applyNumberFormat="1">
      <alignment readingOrder="0" vertical="center"/>
    </xf>
    <xf borderId="127" fillId="0" fontId="66" numFmtId="4" xfId="0" applyAlignment="1" applyBorder="1" applyFont="1" applyNumberFormat="1">
      <alignment readingOrder="0" vertical="center"/>
    </xf>
    <xf borderId="127" fillId="0" fontId="66" numFmtId="0" xfId="0" applyAlignment="1" applyBorder="1" applyFont="1">
      <alignment horizontal="center" vertical="center"/>
    </xf>
    <xf borderId="128" fillId="0" fontId="66" numFmtId="169" xfId="0" applyAlignment="1" applyBorder="1" applyFont="1" applyNumberFormat="1">
      <alignment horizontal="right" vertical="center"/>
    </xf>
    <xf borderId="128" fillId="0" fontId="66" numFmtId="176" xfId="0" applyAlignment="1" applyBorder="1" applyFont="1" applyNumberFormat="1">
      <alignment vertical="center"/>
    </xf>
    <xf borderId="28" fillId="0" fontId="67" numFmtId="0" xfId="0" applyAlignment="1" applyBorder="1" applyFont="1">
      <alignment horizontal="center"/>
    </xf>
    <xf borderId="129" fillId="0" fontId="67" numFmtId="0" xfId="0" applyAlignment="1" applyBorder="1" applyFont="1">
      <alignment readingOrder="0" vertical="center"/>
    </xf>
    <xf borderId="0" fillId="0" fontId="67" numFmtId="4" xfId="0" applyAlignment="1" applyFont="1" applyNumberFormat="1">
      <alignment vertical="center"/>
    </xf>
    <xf borderId="0" fillId="0" fontId="67" numFmtId="0" xfId="0" applyAlignment="1" applyFont="1">
      <alignment horizontal="center" vertical="center"/>
    </xf>
    <xf borderId="100" fillId="0" fontId="67" numFmtId="169" xfId="0" applyAlignment="1" applyBorder="1" applyFont="1" applyNumberFormat="1">
      <alignment horizontal="right" vertical="center"/>
    </xf>
    <xf borderId="28" fillId="0" fontId="67" numFmtId="0" xfId="0" applyAlignment="1" applyBorder="1" applyFont="1">
      <alignment horizontal="center" readingOrder="0"/>
    </xf>
    <xf borderId="130" fillId="0" fontId="66" numFmtId="0" xfId="0" applyAlignment="1" applyBorder="1" applyFont="1">
      <alignment horizontal="center"/>
    </xf>
    <xf borderId="131" fillId="0" fontId="66" numFmtId="4" xfId="0" applyAlignment="1" applyBorder="1" applyFont="1" applyNumberFormat="1">
      <alignment readingOrder="0" vertical="center"/>
    </xf>
    <xf borderId="132" fillId="0" fontId="66" numFmtId="4" xfId="0" applyAlignment="1" applyBorder="1" applyFont="1" applyNumberFormat="1">
      <alignment vertical="center"/>
    </xf>
    <xf borderId="132" fillId="0" fontId="66" numFmtId="0" xfId="0" applyAlignment="1" applyBorder="1" applyFont="1">
      <alignment horizontal="center" vertical="center"/>
    </xf>
    <xf borderId="133" fillId="0" fontId="66" numFmtId="169" xfId="0" applyAlignment="1" applyBorder="1" applyFont="1" applyNumberFormat="1">
      <alignment horizontal="right" vertical="center"/>
    </xf>
    <xf borderId="125" fillId="0" fontId="66" numFmtId="176" xfId="0" applyAlignment="1" applyBorder="1" applyFont="1" applyNumberFormat="1">
      <alignment vertical="center"/>
    </xf>
    <xf borderId="134" fillId="0" fontId="67" numFmtId="0" xfId="0" applyAlignment="1" applyBorder="1" applyFont="1">
      <alignment horizontal="center" vertical="center"/>
    </xf>
    <xf borderId="135" fillId="0" fontId="67" numFmtId="0" xfId="0" applyAlignment="1" applyBorder="1" applyFont="1">
      <alignment readingOrder="0" shrinkToFit="0" vertical="center" wrapText="1"/>
    </xf>
    <xf borderId="135" fillId="0" fontId="67" numFmtId="4" xfId="0" applyAlignment="1" applyBorder="1" applyFont="1" applyNumberFormat="1">
      <alignment vertical="center"/>
    </xf>
    <xf borderId="135" fillId="0" fontId="67" numFmtId="0" xfId="0" applyAlignment="1" applyBorder="1" applyFont="1">
      <alignment horizontal="center" vertical="center"/>
    </xf>
    <xf borderId="135" fillId="0" fontId="67" numFmtId="169" xfId="0" applyAlignment="1" applyBorder="1" applyFont="1" applyNumberFormat="1">
      <alignment horizontal="right" vertical="center"/>
    </xf>
    <xf borderId="9" fillId="0" fontId="67" numFmtId="176" xfId="0" applyAlignment="1" applyBorder="1" applyFont="1" applyNumberFormat="1">
      <alignment vertical="center"/>
    </xf>
    <xf borderId="6" fillId="0" fontId="67" numFmtId="169" xfId="0" applyAlignment="1" applyBorder="1" applyFont="1" applyNumberFormat="1">
      <alignment horizontal="right" vertical="center"/>
    </xf>
    <xf borderId="16" fillId="0" fontId="67" numFmtId="176" xfId="0" applyAlignment="1" applyBorder="1" applyFont="1" applyNumberFormat="1">
      <alignment vertical="center"/>
    </xf>
    <xf borderId="17" fillId="0" fontId="67" numFmtId="0" xfId="0" applyAlignment="1" applyBorder="1" applyFont="1">
      <alignment horizontal="center" readingOrder="0" vertical="center"/>
    </xf>
    <xf borderId="18" fillId="0" fontId="67" numFmtId="0" xfId="0" applyAlignment="1" applyBorder="1" applyFont="1">
      <alignment shrinkToFit="0" vertical="center" wrapText="1"/>
    </xf>
    <xf borderId="18" fillId="0" fontId="67" numFmtId="4" xfId="0" applyAlignment="1" applyBorder="1" applyFont="1" applyNumberFormat="1">
      <alignment vertical="center"/>
    </xf>
    <xf borderId="18" fillId="0" fontId="67" numFmtId="169" xfId="0" applyAlignment="1" applyBorder="1" applyFont="1" applyNumberFormat="1">
      <alignment horizontal="right" vertical="center"/>
    </xf>
    <xf borderId="130" fillId="0" fontId="66" numFmtId="176" xfId="0" applyAlignment="1" applyBorder="1" applyFont="1" applyNumberFormat="1">
      <alignment vertical="center"/>
    </xf>
    <xf borderId="134" fillId="15" fontId="66" numFmtId="0" xfId="0" applyAlignment="1" applyBorder="1" applyFont="1">
      <alignment horizontal="center"/>
    </xf>
    <xf borderId="135" fillId="15" fontId="66" numFmtId="0" xfId="0" applyAlignment="1" applyBorder="1" applyFont="1">
      <alignment readingOrder="0" vertical="center"/>
    </xf>
    <xf borderId="135" fillId="15" fontId="66" numFmtId="0" xfId="0" applyAlignment="1" applyBorder="1" applyFont="1">
      <alignment horizontal="center" vertical="center"/>
    </xf>
    <xf borderId="135" fillId="15" fontId="66" numFmtId="169" xfId="0" applyAlignment="1" applyBorder="1" applyFont="1" applyNumberFormat="1">
      <alignment horizontal="right" vertical="center"/>
    </xf>
    <xf borderId="134" fillId="15" fontId="66" numFmtId="176" xfId="0" applyAlignment="1" applyBorder="1" applyFont="1" applyNumberFormat="1">
      <alignment vertical="center"/>
    </xf>
    <xf borderId="16" fillId="0" fontId="67" numFmtId="0" xfId="0" applyAlignment="1" applyBorder="1" applyFont="1">
      <alignment horizontal="center"/>
    </xf>
    <xf borderId="16" fillId="15" fontId="66" numFmtId="0" xfId="0" applyAlignment="1" applyBorder="1" applyFont="1">
      <alignment horizontal="center"/>
    </xf>
    <xf borderId="18" fillId="15" fontId="66" numFmtId="4" xfId="0" applyAlignment="1" applyBorder="1" applyFont="1" applyNumberFormat="1">
      <alignment readingOrder="0" vertical="center"/>
    </xf>
    <xf borderId="18" fillId="15" fontId="66" numFmtId="0" xfId="0" applyAlignment="1" applyBorder="1" applyFont="1">
      <alignment horizontal="center" vertical="center"/>
    </xf>
    <xf borderId="18" fillId="15" fontId="66" numFmtId="169" xfId="0" applyAlignment="1" applyBorder="1" applyFont="1" applyNumberFormat="1">
      <alignment horizontal="right" vertical="center"/>
    </xf>
    <xf borderId="16" fillId="15" fontId="66" numFmtId="176" xfId="0" applyAlignment="1" applyBorder="1" applyFont="1" applyNumberFormat="1">
      <alignment vertical="center"/>
    </xf>
    <xf borderId="3" fillId="0" fontId="67" numFmtId="0" xfId="0" applyAlignment="1" applyBorder="1" applyFont="1">
      <alignment horizontal="center"/>
    </xf>
    <xf borderId="3" fillId="0" fontId="67" numFmtId="0" xfId="0" applyAlignment="1" applyBorder="1" applyFont="1">
      <alignment readingOrder="0" vertical="center"/>
    </xf>
    <xf borderId="6" fillId="0" fontId="67" numFmtId="0" xfId="0" applyAlignment="1" applyBorder="1" applyFont="1">
      <alignment readingOrder="0" vertical="center"/>
    </xf>
    <xf borderId="3" fillId="0" fontId="67" numFmtId="0" xfId="0" applyAlignment="1" applyBorder="1" applyFont="1">
      <alignment vertical="center"/>
    </xf>
    <xf borderId="6" fillId="0" fontId="67" numFmtId="0" xfId="0" applyAlignment="1" applyBorder="1" applyFont="1">
      <alignment vertical="center"/>
    </xf>
    <xf borderId="6" fillId="0" fontId="67" numFmtId="168" xfId="0" applyAlignment="1" applyBorder="1" applyFont="1" applyNumberFormat="1">
      <alignment horizontal="center" vertical="center"/>
    </xf>
    <xf borderId="10" fillId="0" fontId="67" numFmtId="0" xfId="0" applyAlignment="1" applyBorder="1" applyFont="1">
      <alignment readingOrder="0" vertical="center"/>
    </xf>
    <xf borderId="8" fillId="0" fontId="67" numFmtId="168" xfId="0" applyAlignment="1" applyBorder="1" applyFont="1" applyNumberFormat="1">
      <alignment horizontal="center" vertical="center"/>
    </xf>
    <xf borderId="8" fillId="0" fontId="67" numFmtId="169" xfId="0" applyAlignment="1" applyBorder="1" applyFont="1" applyNumberFormat="1">
      <alignment horizontal="right" vertical="center"/>
    </xf>
    <xf borderId="121" fillId="15" fontId="66" numFmtId="0" xfId="0" applyAlignment="1" applyBorder="1" applyFont="1">
      <alignment horizontal="center"/>
    </xf>
    <xf borderId="97" fillId="15" fontId="66" numFmtId="4" xfId="0" applyAlignment="1" applyBorder="1" applyFont="1" applyNumberFormat="1">
      <alignment readingOrder="0" vertical="center"/>
    </xf>
    <xf borderId="97" fillId="15" fontId="66" numFmtId="0" xfId="0" applyAlignment="1" applyBorder="1" applyFont="1">
      <alignment horizontal="center" vertical="center"/>
    </xf>
    <xf borderId="97" fillId="15" fontId="66" numFmtId="169" xfId="0" applyAlignment="1" applyBorder="1" applyFont="1" applyNumberFormat="1">
      <alignment horizontal="right" vertical="center"/>
    </xf>
    <xf borderId="121" fillId="15" fontId="66" numFmtId="176" xfId="0" applyAlignment="1" applyBorder="1" applyFont="1" applyNumberFormat="1">
      <alignment vertical="center"/>
    </xf>
    <xf borderId="0" fillId="0" fontId="31" numFmtId="0" xfId="0" applyAlignment="1" applyFont="1">
      <alignment horizontal="center"/>
    </xf>
    <xf borderId="0" fillId="0" fontId="31" numFmtId="169" xfId="0" applyAlignment="1" applyFont="1" applyNumberFormat="1">
      <alignment horizontal="right"/>
    </xf>
    <xf borderId="18" fillId="0" fontId="42" numFmtId="176" xfId="0" applyBorder="1" applyFont="1" applyNumberFormat="1"/>
    <xf borderId="0" fillId="0" fontId="67" numFmtId="0" xfId="0" applyAlignment="1" applyFont="1">
      <alignment vertical="center"/>
    </xf>
    <xf borderId="0" fillId="0" fontId="68" numFmtId="0" xfId="0" applyAlignment="1" applyFont="1">
      <alignment horizontal="center"/>
    </xf>
    <xf borderId="0" fillId="0" fontId="68" numFmtId="0" xfId="0" applyAlignment="1" applyFont="1">
      <alignment horizontal="center" readingOrder="0" vertical="center"/>
    </xf>
    <xf borderId="96" fillId="14" fontId="68" numFmtId="0" xfId="0" applyAlignment="1" applyBorder="1" applyFont="1">
      <alignment horizontal="center" readingOrder="0" vertical="center"/>
    </xf>
    <xf borderId="97" fillId="0" fontId="9" numFmtId="0" xfId="0" applyBorder="1" applyFont="1"/>
    <xf borderId="98" fillId="0" fontId="9" numFmtId="0" xfId="0" applyBorder="1" applyFont="1"/>
    <xf borderId="10" fillId="0" fontId="44" numFmtId="0" xfId="0" applyAlignment="1" applyBorder="1" applyFont="1">
      <alignment horizontal="left" readingOrder="0" vertical="center"/>
    </xf>
    <xf borderId="8" fillId="0" fontId="44" numFmtId="169" xfId="0" applyAlignment="1" applyBorder="1" applyFont="1" applyNumberFormat="1">
      <alignment horizontal="center" vertical="center"/>
    </xf>
    <xf borderId="9" fillId="0" fontId="44" numFmtId="169" xfId="0" applyAlignment="1" applyBorder="1" applyFont="1" applyNumberFormat="1">
      <alignment horizontal="center" vertical="center"/>
    </xf>
    <xf borderId="9" fillId="0" fontId="44" numFmtId="0" xfId="0" applyAlignment="1" applyBorder="1" applyFont="1">
      <alignment horizontal="center" readingOrder="0" vertical="center"/>
    </xf>
    <xf borderId="9" fillId="0" fontId="44" numFmtId="0" xfId="0" applyAlignment="1" applyBorder="1" applyFont="1">
      <alignment horizontal="center" readingOrder="0" shrinkToFit="0" vertical="center" wrapText="1"/>
    </xf>
    <xf borderId="3" fillId="0" fontId="42" numFmtId="0" xfId="0" applyAlignment="1" applyBorder="1" applyFont="1">
      <alignment vertical="bottom"/>
    </xf>
    <xf borderId="6" fillId="0" fontId="42" numFmtId="169" xfId="0" applyAlignment="1" applyBorder="1" applyFont="1" applyNumberFormat="1">
      <alignment horizontal="right" readingOrder="0"/>
    </xf>
    <xf borderId="16" fillId="0" fontId="42" numFmtId="176" xfId="0" applyAlignment="1" applyBorder="1" applyFont="1" applyNumberFormat="1">
      <alignment horizontal="right" readingOrder="0"/>
    </xf>
    <xf borderId="16" fillId="0" fontId="42" numFmtId="9" xfId="0" applyAlignment="1" applyBorder="1" applyFont="1" applyNumberFormat="1">
      <alignment horizontal="center"/>
    </xf>
    <xf borderId="16" fillId="0" fontId="42" numFmtId="0" xfId="0" applyAlignment="1" applyBorder="1" applyFont="1">
      <alignment horizontal="center" readingOrder="0" shrinkToFit="0" vertical="bottom" wrapText="1"/>
    </xf>
    <xf borderId="3" fillId="0" fontId="42" numFmtId="0" xfId="0" applyAlignment="1" applyBorder="1" applyFont="1">
      <alignment readingOrder="0" vertical="bottom"/>
    </xf>
    <xf borderId="16" fillId="0" fontId="42" numFmtId="0" xfId="0" applyAlignment="1" applyBorder="1" applyFont="1">
      <alignment horizontal="center" readingOrder="0" shrinkToFit="0" wrapText="1"/>
    </xf>
    <xf borderId="19" fillId="0" fontId="42" numFmtId="0" xfId="0" applyAlignment="1" applyBorder="1" applyFont="1">
      <alignment readingOrder="0" vertical="bottom"/>
    </xf>
    <xf borderId="18" fillId="0" fontId="42" numFmtId="169" xfId="0" applyAlignment="1" applyBorder="1" applyFont="1" applyNumberFormat="1">
      <alignment horizontal="right" readingOrder="0"/>
    </xf>
    <xf borderId="17" fillId="0" fontId="42" numFmtId="176" xfId="0" applyAlignment="1" applyBorder="1" applyFont="1" applyNumberFormat="1">
      <alignment horizontal="right" readingOrder="0"/>
    </xf>
    <xf borderId="17" fillId="0" fontId="42" numFmtId="0" xfId="0" applyAlignment="1" applyBorder="1" applyFont="1">
      <alignment horizontal="center" readingOrder="0" shrinkToFit="0" wrapText="1"/>
    </xf>
    <xf borderId="126" fillId="0" fontId="44" numFmtId="0" xfId="0" applyAlignment="1" applyBorder="1" applyFont="1">
      <alignment readingOrder="0" vertical="bottom"/>
    </xf>
    <xf borderId="127" fillId="0" fontId="44" numFmtId="169" xfId="0" applyAlignment="1" applyBorder="1" applyFont="1" applyNumberFormat="1">
      <alignment horizontal="right"/>
    </xf>
    <xf borderId="125" fillId="0" fontId="44" numFmtId="176" xfId="0" applyAlignment="1" applyBorder="1" applyFont="1" applyNumberFormat="1">
      <alignment horizontal="right"/>
    </xf>
    <xf borderId="125" fillId="0" fontId="44" numFmtId="9" xfId="0" applyAlignment="1" applyBorder="1" applyFont="1" applyNumberFormat="1">
      <alignment horizontal="center"/>
    </xf>
    <xf borderId="125" fillId="0" fontId="44" numFmtId="0" xfId="0" applyAlignment="1" applyBorder="1" applyFont="1">
      <alignment shrinkToFit="0" wrapText="1"/>
    </xf>
    <xf borderId="129" fillId="0" fontId="42" numFmtId="0" xfId="0" applyAlignment="1" applyBorder="1" applyFont="1">
      <alignment readingOrder="0" vertical="bottom"/>
    </xf>
    <xf borderId="0" fillId="0" fontId="42" numFmtId="0" xfId="0" applyFont="1"/>
    <xf borderId="0" fillId="0" fontId="42" numFmtId="176" xfId="0" applyFont="1" applyNumberFormat="1"/>
    <xf borderId="0" fillId="0" fontId="42" numFmtId="0" xfId="0" applyAlignment="1" applyFont="1">
      <alignment readingOrder="0" shrinkToFit="0" vertical="bottom" wrapText="1"/>
    </xf>
    <xf borderId="100" fillId="0" fontId="42" numFmtId="0" xfId="0" applyAlignment="1" applyBorder="1" applyFont="1">
      <alignment readingOrder="0" shrinkToFit="0" vertical="bottom" wrapText="1"/>
    </xf>
    <xf borderId="3" fillId="0" fontId="44" numFmtId="0" xfId="0" applyAlignment="1" applyBorder="1" applyFont="1">
      <alignment horizontal="left" readingOrder="0" shrinkToFit="0" vertical="center" wrapText="1"/>
    </xf>
    <xf borderId="16" fillId="0" fontId="44" numFmtId="176" xfId="0" applyAlignment="1" applyBorder="1" applyFont="1" applyNumberFormat="1">
      <alignment horizontal="center" vertical="center"/>
    </xf>
    <xf borderId="16" fillId="0" fontId="44" numFmtId="0" xfId="0" applyAlignment="1" applyBorder="1" applyFont="1">
      <alignment horizontal="center" readingOrder="0" vertical="center"/>
    </xf>
    <xf borderId="16" fillId="0" fontId="44" numFmtId="0" xfId="0" applyAlignment="1" applyBorder="1" applyFont="1">
      <alignment horizontal="center" readingOrder="0" shrinkToFit="0" vertical="center" wrapText="1"/>
    </xf>
    <xf borderId="16" fillId="0" fontId="42" numFmtId="177" xfId="0" applyAlignment="1" applyBorder="1" applyFont="1" applyNumberFormat="1">
      <alignment horizontal="center" readingOrder="0" shrinkToFit="0" vertical="bottom" wrapText="1"/>
    </xf>
    <xf borderId="129" fillId="0" fontId="44" numFmtId="0" xfId="0" applyAlignment="1" applyBorder="1" applyFont="1">
      <alignment readingOrder="0" vertical="bottom"/>
    </xf>
    <xf borderId="0" fillId="0" fontId="44" numFmtId="169" xfId="0" applyAlignment="1" applyFont="1" applyNumberFormat="1">
      <alignment horizontal="right"/>
    </xf>
    <xf borderId="0" fillId="0" fontId="44" numFmtId="176" xfId="0" applyAlignment="1" applyFont="1" applyNumberFormat="1">
      <alignment horizontal="right"/>
    </xf>
    <xf borderId="0" fillId="0" fontId="44" numFmtId="9" xfId="0" applyAlignment="1" applyFont="1" applyNumberFormat="1">
      <alignment horizontal="center"/>
    </xf>
    <xf borderId="0" fillId="0" fontId="44" numFmtId="3" xfId="0" applyAlignment="1" applyFont="1" applyNumberFormat="1">
      <alignment horizontal="left" readingOrder="0"/>
    </xf>
    <xf borderId="100" fillId="0" fontId="44" numFmtId="3" xfId="0" applyAlignment="1" applyBorder="1" applyFont="1" applyNumberFormat="1">
      <alignment horizontal="center" shrinkToFit="0" wrapText="1"/>
    </xf>
    <xf borderId="0" fillId="0" fontId="69" numFmtId="0" xfId="0" applyAlignment="1" applyFont="1">
      <alignment vertical="center"/>
    </xf>
    <xf borderId="96" fillId="14" fontId="6" numFmtId="0" xfId="0" applyAlignment="1" applyBorder="1" applyFont="1">
      <alignment readingOrder="0" vertical="center"/>
    </xf>
    <xf borderId="97" fillId="13" fontId="6" numFmtId="169" xfId="0" applyAlignment="1" applyBorder="1" applyFont="1" applyNumberFormat="1">
      <alignment horizontal="right" vertical="center"/>
    </xf>
    <xf borderId="97" fillId="13" fontId="6" numFmtId="176" xfId="0" applyAlignment="1" applyBorder="1" applyFont="1" applyNumberFormat="1">
      <alignment horizontal="right" vertical="center"/>
    </xf>
    <xf borderId="97" fillId="13" fontId="6" numFmtId="9" xfId="0" applyAlignment="1" applyBorder="1" applyFont="1" applyNumberFormat="1">
      <alignment horizontal="center" vertical="center"/>
    </xf>
    <xf borderId="97" fillId="13" fontId="6" numFmtId="3" xfId="0" applyAlignment="1" applyBorder="1" applyFont="1" applyNumberFormat="1">
      <alignment horizontal="left" readingOrder="0" vertical="center"/>
    </xf>
    <xf borderId="98" fillId="13" fontId="6" numFmtId="3" xfId="0" applyAlignment="1" applyBorder="1" applyFont="1" applyNumberFormat="1">
      <alignment horizontal="center" shrinkToFit="0" vertical="center" wrapText="1"/>
    </xf>
    <xf borderId="0" fillId="0" fontId="70" numFmtId="0" xfId="0" applyAlignment="1" applyFont="1">
      <alignment readingOrder="0"/>
    </xf>
  </cellXfs>
  <cellStyles count="1">
    <cellStyle xfId="0" name="Normal" builtinId="0"/>
  </cellStyles>
  <dxfs count="2">
    <dxf>
      <font>
        <color rgb="FFD9D9D9"/>
      </font>
      <fill>
        <patternFill patternType="none"/>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mo"/>
        <a:ea typeface="Arimo"/>
        <a:cs typeface="Arimo"/>
      </a:majorFont>
      <a:minorFont>
        <a:latin typeface="Arimo"/>
        <a:ea typeface="Arimo"/>
        <a:cs typeface="Arim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documentary.org/online-feature/2025-introduction-documentary-budgeting-and-schedulin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frame.io/"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2.29"/>
  </cols>
  <sheetData>
    <row r="1">
      <c r="A1" s="1"/>
      <c r="K1" s="2"/>
      <c r="L1" s="3"/>
      <c r="M1" s="3"/>
    </row>
    <row r="2">
      <c r="B2" s="4" t="s">
        <v>0</v>
      </c>
      <c r="M2" s="5"/>
    </row>
    <row r="3">
      <c r="M3" s="5"/>
    </row>
    <row r="4">
      <c r="M4" s="5"/>
    </row>
    <row r="5">
      <c r="M5" s="5"/>
    </row>
    <row r="6">
      <c r="A6" s="6" t="s">
        <v>1</v>
      </c>
      <c r="M6" s="5"/>
    </row>
    <row r="7">
      <c r="M7" s="5"/>
    </row>
    <row r="8">
      <c r="M8" s="5"/>
    </row>
    <row r="9">
      <c r="M9" s="5"/>
    </row>
    <row r="10">
      <c r="M10" s="5"/>
    </row>
    <row r="11">
      <c r="M11" s="5"/>
    </row>
    <row r="12">
      <c r="M12" s="5"/>
    </row>
    <row r="13">
      <c r="M13" s="5"/>
    </row>
    <row r="14">
      <c r="M14" s="5"/>
    </row>
    <row r="15">
      <c r="M15" s="5"/>
    </row>
    <row r="16">
      <c r="M16" s="5"/>
    </row>
    <row r="17">
      <c r="M17" s="5"/>
    </row>
    <row r="18">
      <c r="M18" s="5"/>
    </row>
    <row r="19">
      <c r="M19" s="5"/>
    </row>
    <row r="20">
      <c r="M20" s="5"/>
    </row>
    <row r="21">
      <c r="M21" s="5"/>
    </row>
    <row r="22">
      <c r="M22" s="5"/>
    </row>
    <row r="23">
      <c r="M23" s="5"/>
    </row>
    <row r="24">
      <c r="M24" s="5"/>
    </row>
    <row r="25">
      <c r="M25" s="5"/>
    </row>
    <row r="26">
      <c r="M26" s="5"/>
    </row>
    <row r="27">
      <c r="M27" s="5"/>
    </row>
    <row r="28">
      <c r="M28" s="5"/>
    </row>
    <row r="29">
      <c r="M29" s="5"/>
    </row>
    <row r="30">
      <c r="M30" s="5"/>
    </row>
    <row r="31">
      <c r="M31" s="5"/>
    </row>
    <row r="32">
      <c r="M32" s="5"/>
    </row>
    <row r="33">
      <c r="M33" s="5"/>
    </row>
    <row r="34">
      <c r="M34" s="5"/>
    </row>
    <row r="35">
      <c r="M35" s="5"/>
    </row>
    <row r="36">
      <c r="M36" s="5"/>
    </row>
    <row r="37">
      <c r="M37" s="5"/>
    </row>
    <row r="38">
      <c r="M38" s="5"/>
    </row>
    <row r="39">
      <c r="M39" s="5"/>
    </row>
    <row r="40">
      <c r="M40" s="5"/>
    </row>
    <row r="41">
      <c r="M41" s="5"/>
    </row>
    <row r="42">
      <c r="M42" s="5"/>
    </row>
    <row r="43">
      <c r="M43" s="5"/>
    </row>
    <row r="44">
      <c r="M44" s="5"/>
    </row>
    <row r="45">
      <c r="M45" s="5"/>
    </row>
    <row r="46">
      <c r="M46" s="5"/>
    </row>
    <row r="47">
      <c r="M47" s="5"/>
    </row>
    <row r="48">
      <c r="M48" s="5"/>
    </row>
    <row r="49">
      <c r="M49" s="5"/>
    </row>
    <row r="50">
      <c r="M50" s="5"/>
    </row>
    <row r="51">
      <c r="M51" s="5"/>
    </row>
    <row r="52">
      <c r="M52" s="5"/>
    </row>
    <row r="53">
      <c r="M53" s="5"/>
    </row>
    <row r="54">
      <c r="M54" s="5"/>
    </row>
    <row r="55">
      <c r="M55" s="5"/>
    </row>
    <row r="56">
      <c r="M56" s="5"/>
    </row>
    <row r="57">
      <c r="M57" s="5"/>
    </row>
    <row r="58">
      <c r="M58" s="5"/>
    </row>
    <row r="59">
      <c r="M59" s="5"/>
    </row>
    <row r="60">
      <c r="M60" s="5"/>
    </row>
    <row r="61">
      <c r="M61" s="5"/>
    </row>
    <row r="62">
      <c r="M62" s="5"/>
    </row>
    <row r="63">
      <c r="M63" s="5"/>
    </row>
    <row r="64">
      <c r="M64" s="5"/>
    </row>
    <row r="65">
      <c r="M65" s="5"/>
    </row>
    <row r="66">
      <c r="M66" s="5"/>
    </row>
    <row r="67">
      <c r="M67" s="5"/>
    </row>
    <row r="68">
      <c r="M68" s="5"/>
    </row>
    <row r="69">
      <c r="M69" s="5"/>
    </row>
    <row r="70">
      <c r="M70" s="5"/>
    </row>
    <row r="71">
      <c r="M71" s="5"/>
    </row>
    <row r="72">
      <c r="M72" s="5"/>
    </row>
    <row r="73">
      <c r="M73" s="5"/>
    </row>
    <row r="74">
      <c r="M74" s="5"/>
    </row>
    <row r="75">
      <c r="M75" s="5"/>
    </row>
    <row r="76">
      <c r="M76" s="5"/>
    </row>
    <row r="77">
      <c r="M77" s="5"/>
    </row>
    <row r="78">
      <c r="M78" s="5"/>
    </row>
    <row r="79">
      <c r="M79" s="5"/>
    </row>
    <row r="80">
      <c r="M80" s="5"/>
    </row>
    <row r="81">
      <c r="M81" s="5"/>
    </row>
    <row r="82">
      <c r="M82" s="5"/>
    </row>
    <row r="83">
      <c r="M83" s="5"/>
    </row>
    <row r="84">
      <c r="M84" s="5"/>
    </row>
    <row r="85">
      <c r="M85" s="5"/>
    </row>
    <row r="86">
      <c r="M86" s="5"/>
    </row>
    <row r="87">
      <c r="M87" s="5"/>
    </row>
    <row r="88">
      <c r="M88" s="5"/>
    </row>
    <row r="89">
      <c r="M89" s="5"/>
    </row>
    <row r="90">
      <c r="M90" s="5"/>
    </row>
    <row r="91">
      <c r="M91" s="5"/>
    </row>
    <row r="92">
      <c r="M92" s="5"/>
    </row>
    <row r="93">
      <c r="M93" s="5"/>
    </row>
    <row r="94">
      <c r="M94" s="5"/>
    </row>
    <row r="95">
      <c r="M95" s="5"/>
    </row>
    <row r="96">
      <c r="M96" s="5"/>
    </row>
    <row r="97">
      <c r="M97" s="5"/>
    </row>
    <row r="98">
      <c r="M98" s="5"/>
    </row>
    <row r="99">
      <c r="M99" s="5"/>
    </row>
    <row r="100">
      <c r="M100" s="5"/>
    </row>
    <row r="101">
      <c r="M101" s="5"/>
    </row>
    <row r="102">
      <c r="M102" s="5"/>
    </row>
    <row r="103">
      <c r="M103" s="5"/>
    </row>
    <row r="104">
      <c r="M104" s="5"/>
    </row>
    <row r="105">
      <c r="M105" s="5"/>
    </row>
    <row r="106">
      <c r="M106" s="5"/>
    </row>
    <row r="107">
      <c r="M107" s="5"/>
    </row>
    <row r="108">
      <c r="M108" s="5"/>
    </row>
    <row r="109">
      <c r="M109" s="5"/>
    </row>
    <row r="110">
      <c r="M110" s="5"/>
    </row>
    <row r="111">
      <c r="M111" s="5"/>
    </row>
    <row r="112">
      <c r="M112" s="5"/>
    </row>
    <row r="113">
      <c r="M113" s="5"/>
    </row>
    <row r="114">
      <c r="M114" s="5"/>
    </row>
    <row r="115">
      <c r="M115" s="5"/>
    </row>
    <row r="116">
      <c r="M116" s="5"/>
    </row>
    <row r="117">
      <c r="M117" s="5"/>
    </row>
    <row r="118">
      <c r="M118" s="5"/>
    </row>
    <row r="119">
      <c r="M119" s="5"/>
    </row>
    <row r="120">
      <c r="M120" s="5"/>
    </row>
    <row r="121">
      <c r="M121" s="5"/>
    </row>
    <row r="122">
      <c r="M122" s="5"/>
    </row>
    <row r="123">
      <c r="M123" s="5"/>
    </row>
    <row r="124">
      <c r="M124" s="5"/>
    </row>
    <row r="125">
      <c r="M125" s="5"/>
    </row>
    <row r="126">
      <c r="M126" s="5"/>
    </row>
    <row r="127">
      <c r="M127" s="5"/>
    </row>
    <row r="128">
      <c r="M128" s="5"/>
    </row>
    <row r="129">
      <c r="M129" s="5"/>
    </row>
    <row r="130">
      <c r="M130" s="5"/>
    </row>
    <row r="131">
      <c r="M131" s="5"/>
    </row>
    <row r="132">
      <c r="M132" s="5"/>
    </row>
    <row r="133">
      <c r="M133" s="5"/>
    </row>
    <row r="134">
      <c r="M134" s="5"/>
    </row>
    <row r="135">
      <c r="M135" s="5"/>
    </row>
    <row r="136">
      <c r="M136" s="5"/>
    </row>
  </sheetData>
  <mergeCells count="1">
    <mergeCell ref="B2:L174"/>
  </mergeCells>
  <hyperlinks>
    <hyperlink r:id="rId1" ref="B2"/>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1.86"/>
    <col customWidth="1" min="2" max="2" width="7.57"/>
    <col customWidth="1" min="3" max="3" width="12.29"/>
    <col customWidth="1" min="4" max="4" width="5.29"/>
    <col customWidth="1" min="5" max="7" width="4.86"/>
    <col customWidth="1" min="8" max="8" width="3.0"/>
    <col customWidth="1" min="9" max="9" width="4.86"/>
    <col customWidth="1" min="10" max="10" width="5.43"/>
    <col customWidth="1" min="11" max="11" width="4.86"/>
    <col customWidth="1" min="12" max="12" width="3.0"/>
    <col customWidth="1" min="13" max="15" width="4.86"/>
    <col customWidth="1" min="16" max="16" width="3.0"/>
    <col customWidth="1" min="17" max="17" width="4.29"/>
    <col customWidth="1" min="18" max="18" width="5.57"/>
    <col customWidth="1" min="19" max="19" width="8.71"/>
    <col customWidth="1" min="20" max="20" width="3.14"/>
    <col customWidth="1" min="21" max="21" width="5.0"/>
    <col customWidth="1" min="22" max="23" width="3.86"/>
    <col customWidth="1" min="24" max="24" width="4.29"/>
    <col customWidth="1" min="25" max="25" width="3.14"/>
    <col customWidth="1" min="26" max="27" width="5.0"/>
    <col customWidth="1" min="28" max="28" width="4.43"/>
    <col customWidth="1" min="29" max="29" width="3.0"/>
    <col customWidth="1" min="30" max="31" width="5.0"/>
    <col customWidth="1" min="32" max="32" width="5.29"/>
    <col customWidth="1" min="33" max="33" width="3.71"/>
    <col customWidth="1" min="34" max="34" width="3.0"/>
    <col customWidth="1" min="35" max="35" width="4.86"/>
    <col customWidth="1" min="36" max="36" width="5.57"/>
    <col customWidth="1" min="37" max="37" width="4.86"/>
    <col customWidth="1" min="38" max="38" width="3.0"/>
    <col customWidth="1" min="39" max="40" width="5.0"/>
    <col customWidth="1" min="41" max="41" width="1.43"/>
    <col customWidth="1" min="42" max="45" width="5.0"/>
    <col customWidth="1" min="46" max="46" width="1.29"/>
    <col customWidth="1" min="47" max="47" width="5.0"/>
    <col customWidth="1" min="48" max="48" width="1.29"/>
    <col customWidth="1" min="49" max="50" width="5.0"/>
    <col customWidth="1" min="51" max="51" width="1.29"/>
    <col customWidth="1" min="52" max="54" width="5.0"/>
  </cols>
  <sheetData>
    <row r="1" ht="22.5" customHeight="1">
      <c r="A1" s="1" t="str">
        <f>'1. READ THIS FIRST!'!A1</f>
        <v/>
      </c>
      <c r="B1" s="7" t="s">
        <v>2</v>
      </c>
      <c r="C1" s="7"/>
      <c r="D1" s="7"/>
      <c r="E1" s="7"/>
      <c r="F1" s="7"/>
      <c r="G1" s="7"/>
      <c r="H1" s="8"/>
      <c r="J1" s="8"/>
      <c r="K1" s="8"/>
      <c r="L1" s="9"/>
      <c r="M1" s="10" t="s">
        <v>3</v>
      </c>
      <c r="N1" s="9"/>
      <c r="O1" s="9"/>
      <c r="P1" s="11"/>
      <c r="Q1" s="11"/>
      <c r="R1" s="11"/>
      <c r="S1" s="11"/>
      <c r="T1" s="11"/>
      <c r="U1" s="9"/>
      <c r="V1" s="9"/>
      <c r="W1" s="9"/>
      <c r="X1" s="9"/>
      <c r="Y1" s="11"/>
      <c r="AA1" s="11"/>
      <c r="AB1" s="11"/>
      <c r="AC1" s="11"/>
      <c r="AD1" s="11"/>
      <c r="AE1" s="11"/>
      <c r="AF1" s="11"/>
      <c r="AG1" s="9"/>
      <c r="AH1" s="9"/>
      <c r="AI1" s="9"/>
      <c r="AJ1" s="9"/>
      <c r="AK1" s="9"/>
      <c r="AL1" s="9"/>
      <c r="AM1" s="12" t="s">
        <v>4</v>
      </c>
      <c r="AN1" s="13"/>
      <c r="AO1" s="14"/>
      <c r="AP1" s="12" t="s">
        <v>5</v>
      </c>
      <c r="AQ1" s="15"/>
      <c r="AR1" s="15"/>
      <c r="AS1" s="13"/>
      <c r="AT1" s="14"/>
      <c r="AU1" s="16" t="s">
        <v>6</v>
      </c>
      <c r="AV1" s="14"/>
      <c r="AW1" s="12" t="s">
        <v>7</v>
      </c>
      <c r="AX1" s="13"/>
      <c r="AY1" s="17"/>
      <c r="AZ1" s="12" t="s">
        <v>8</v>
      </c>
      <c r="BA1" s="15"/>
      <c r="BB1" s="13"/>
    </row>
    <row r="2" ht="114.75" customHeight="1">
      <c r="A2" s="18" t="s">
        <v>9</v>
      </c>
      <c r="B2" s="19" t="s">
        <v>10</v>
      </c>
      <c r="C2" s="20" t="s">
        <v>11</v>
      </c>
      <c r="D2" s="21"/>
      <c r="E2" s="21" t="s">
        <v>12</v>
      </c>
      <c r="F2" s="22"/>
      <c r="G2" s="22"/>
      <c r="H2" s="21"/>
      <c r="I2" s="21" t="s">
        <v>13</v>
      </c>
      <c r="J2" s="22"/>
      <c r="K2" s="22"/>
      <c r="L2" s="20"/>
      <c r="M2" s="20" t="s">
        <v>14</v>
      </c>
      <c r="N2" s="22"/>
      <c r="O2" s="22"/>
      <c r="P2" s="23"/>
      <c r="Q2" s="23" t="s">
        <v>15</v>
      </c>
      <c r="T2" s="23"/>
      <c r="U2" s="20" t="s">
        <v>16</v>
      </c>
      <c r="V2" s="22"/>
      <c r="W2" s="22"/>
      <c r="X2" s="22"/>
      <c r="Y2" s="18"/>
      <c r="Z2" s="18" t="s">
        <v>17</v>
      </c>
      <c r="AC2" s="18"/>
      <c r="AD2" s="24" t="s">
        <v>18</v>
      </c>
      <c r="AE2" s="22"/>
      <c r="AF2" s="22"/>
      <c r="AG2" s="22"/>
      <c r="AH2" s="21"/>
      <c r="AI2" s="21" t="s">
        <v>19</v>
      </c>
      <c r="AJ2" s="22"/>
      <c r="AK2" s="22"/>
      <c r="AL2" s="21"/>
      <c r="AM2" s="25" t="s">
        <v>20</v>
      </c>
      <c r="AN2" s="26" t="s">
        <v>21</v>
      </c>
      <c r="AO2" s="27"/>
      <c r="AP2" s="28" t="s">
        <v>22</v>
      </c>
      <c r="AQ2" s="29" t="s">
        <v>23</v>
      </c>
      <c r="AR2" s="30" t="s">
        <v>24</v>
      </c>
      <c r="AS2" s="31" t="s">
        <v>25</v>
      </c>
      <c r="AT2" s="27"/>
      <c r="AU2" s="32" t="s">
        <v>26</v>
      </c>
      <c r="AV2" s="27"/>
      <c r="AW2" s="33" t="s">
        <v>27</v>
      </c>
      <c r="AX2" s="33" t="s">
        <v>28</v>
      </c>
      <c r="AY2" s="34"/>
      <c r="AZ2" s="35" t="s">
        <v>29</v>
      </c>
      <c r="BA2" s="36" t="s">
        <v>30</v>
      </c>
      <c r="BB2" s="36" t="s">
        <v>31</v>
      </c>
    </row>
    <row r="3" ht="1.5" customHeight="1">
      <c r="A3" s="37"/>
      <c r="B3" s="38"/>
      <c r="C3" s="39"/>
      <c r="D3" s="40"/>
      <c r="E3" s="40"/>
      <c r="F3" s="40"/>
      <c r="G3" s="40"/>
      <c r="H3" s="40"/>
      <c r="I3" s="40"/>
      <c r="J3" s="40"/>
      <c r="K3" s="40"/>
      <c r="L3" s="40"/>
      <c r="M3" s="41"/>
      <c r="N3" s="41"/>
      <c r="O3" s="41"/>
      <c r="P3" s="42"/>
      <c r="Q3" s="42"/>
      <c r="R3" s="42"/>
      <c r="S3" s="42"/>
      <c r="T3" s="41"/>
      <c r="U3" s="41"/>
      <c r="V3" s="41"/>
      <c r="W3" s="41"/>
      <c r="X3" s="41"/>
      <c r="Y3" s="41"/>
      <c r="Z3" s="41"/>
      <c r="AA3" s="41"/>
      <c r="AB3" s="41"/>
      <c r="AC3" s="41"/>
      <c r="AD3" s="41"/>
      <c r="AE3" s="41"/>
      <c r="AF3" s="41"/>
      <c r="AG3" s="40"/>
      <c r="AH3" s="40"/>
      <c r="AI3" s="40"/>
      <c r="AJ3" s="40"/>
      <c r="AK3" s="40"/>
      <c r="AL3" s="40"/>
      <c r="AM3" s="43"/>
      <c r="AN3" s="43"/>
      <c r="AO3" s="44"/>
      <c r="AP3" s="43"/>
      <c r="AQ3" s="43"/>
      <c r="AR3" s="43"/>
      <c r="AS3" s="43"/>
      <c r="AT3" s="44"/>
      <c r="AU3" s="43"/>
      <c r="AV3" s="44"/>
      <c r="AW3" s="43"/>
      <c r="AX3" s="43"/>
      <c r="AY3" s="45"/>
      <c r="AZ3" s="43"/>
      <c r="BA3" s="43"/>
      <c r="BB3" s="43"/>
    </row>
    <row r="4" ht="15.75" customHeight="1">
      <c r="A4" s="46"/>
      <c r="B4" s="47">
        <v>1.0</v>
      </c>
      <c r="C4" s="48">
        <v>45411.0</v>
      </c>
      <c r="D4" s="49"/>
      <c r="E4" s="50" t="s">
        <v>32</v>
      </c>
      <c r="F4" s="51"/>
      <c r="G4" s="52"/>
      <c r="H4" s="52"/>
      <c r="I4" s="53" t="s">
        <v>33</v>
      </c>
      <c r="J4" s="54"/>
      <c r="K4" s="52"/>
      <c r="L4" s="52"/>
      <c r="M4" s="52"/>
      <c r="N4" s="52"/>
      <c r="O4" s="52"/>
      <c r="P4" s="55"/>
      <c r="Q4" s="55"/>
      <c r="R4" s="55"/>
      <c r="S4" s="55"/>
      <c r="T4" s="56"/>
      <c r="U4" s="56"/>
      <c r="V4" s="56"/>
      <c r="W4" s="56"/>
      <c r="X4" s="56"/>
      <c r="Y4" s="56"/>
      <c r="Z4" s="56"/>
      <c r="AA4" s="56"/>
      <c r="AB4" s="56"/>
      <c r="AC4" s="56"/>
      <c r="AD4" s="56"/>
      <c r="AE4" s="56"/>
      <c r="AF4" s="56"/>
      <c r="AG4" s="52"/>
      <c r="AH4" s="52"/>
      <c r="AI4" s="52"/>
      <c r="AJ4" s="52"/>
      <c r="AK4" s="52"/>
      <c r="AL4" s="52"/>
      <c r="AM4" s="57">
        <v>1.0</v>
      </c>
      <c r="AN4" s="57">
        <v>1.0</v>
      </c>
      <c r="AO4" s="58"/>
      <c r="AP4" s="59"/>
      <c r="AQ4" s="60"/>
      <c r="AR4" s="61"/>
      <c r="AS4" s="62"/>
      <c r="AT4" s="58"/>
      <c r="AU4" s="57"/>
      <c r="AV4" s="58"/>
      <c r="AW4" s="62"/>
      <c r="AX4" s="52"/>
      <c r="AY4" s="63"/>
      <c r="AZ4" s="57"/>
      <c r="BA4" s="57"/>
      <c r="BB4" s="57"/>
    </row>
    <row r="5" ht="15.75" customHeight="1">
      <c r="A5" s="64" t="s">
        <v>34</v>
      </c>
      <c r="B5" s="65">
        <f t="shared" ref="B5:B108" si="2">B4+1</f>
        <v>2</v>
      </c>
      <c r="C5" s="66">
        <f t="shared" ref="C5:C108" si="3">C4+7</f>
        <v>45418</v>
      </c>
      <c r="D5" s="67"/>
      <c r="E5" s="68" t="s">
        <v>35</v>
      </c>
      <c r="F5" s="69"/>
      <c r="G5" s="70"/>
      <c r="H5" s="70"/>
      <c r="I5" s="71" t="s">
        <v>36</v>
      </c>
      <c r="J5" s="71"/>
      <c r="K5" s="70"/>
      <c r="L5" s="70"/>
      <c r="M5" s="70"/>
      <c r="N5" s="70"/>
      <c r="O5" s="70"/>
      <c r="P5" s="72"/>
      <c r="Q5" s="72"/>
      <c r="R5" s="72"/>
      <c r="S5" s="72"/>
      <c r="T5" s="72"/>
      <c r="U5" s="72"/>
      <c r="V5" s="72"/>
      <c r="W5" s="72"/>
      <c r="X5" s="72"/>
      <c r="Y5" s="72"/>
      <c r="Z5" s="72"/>
      <c r="AA5" s="72"/>
      <c r="AB5" s="72"/>
      <c r="AC5" s="72"/>
      <c r="AD5" s="72"/>
      <c r="AE5" s="72"/>
      <c r="AF5" s="72"/>
      <c r="AG5" s="70"/>
      <c r="AH5" s="70"/>
      <c r="AI5" s="70"/>
      <c r="AJ5" s="70"/>
      <c r="AK5" s="70"/>
      <c r="AL5" s="70"/>
      <c r="AM5" s="73">
        <f t="shared" ref="AM5:AN5" si="1">AM4+1</f>
        <v>2</v>
      </c>
      <c r="AN5" s="73">
        <f t="shared" si="1"/>
        <v>2</v>
      </c>
      <c r="AO5" s="74"/>
      <c r="AP5" s="75"/>
      <c r="AQ5" s="76"/>
      <c r="AR5" s="77"/>
      <c r="AS5" s="78"/>
      <c r="AT5" s="74"/>
      <c r="AU5" s="73"/>
      <c r="AV5" s="74"/>
      <c r="AW5" s="78"/>
      <c r="AX5" s="73"/>
      <c r="AY5" s="79"/>
      <c r="AZ5" s="73"/>
      <c r="BA5" s="73"/>
      <c r="BB5" s="73"/>
    </row>
    <row r="6" ht="15.75" customHeight="1">
      <c r="A6" s="80">
        <v>45413.0</v>
      </c>
      <c r="B6" s="65">
        <f t="shared" si="2"/>
        <v>3</v>
      </c>
      <c r="C6" s="66">
        <f t="shared" si="3"/>
        <v>45425</v>
      </c>
      <c r="D6" s="67"/>
      <c r="E6" s="69"/>
      <c r="F6" s="69"/>
      <c r="G6" s="70"/>
      <c r="H6" s="70"/>
      <c r="I6" s="71" t="s">
        <v>37</v>
      </c>
      <c r="J6" s="71"/>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3">
        <f t="shared" ref="AM6:AN6" si="4">AM5+1</f>
        <v>3</v>
      </c>
      <c r="AN6" s="73">
        <f t="shared" si="4"/>
        <v>3</v>
      </c>
      <c r="AO6" s="74"/>
      <c r="AP6" s="75"/>
      <c r="AQ6" s="78"/>
      <c r="AR6" s="73"/>
      <c r="AS6" s="78"/>
      <c r="AT6" s="74"/>
      <c r="AU6" s="73"/>
      <c r="AV6" s="74"/>
      <c r="AW6" s="78"/>
      <c r="AX6" s="73"/>
      <c r="AY6" s="79"/>
      <c r="AZ6" s="73"/>
      <c r="BA6" s="73"/>
      <c r="BB6" s="73"/>
    </row>
    <row r="7" ht="15.75" customHeight="1">
      <c r="A7" s="64"/>
      <c r="B7" s="65">
        <f t="shared" si="2"/>
        <v>4</v>
      </c>
      <c r="C7" s="66">
        <f t="shared" si="3"/>
        <v>45432</v>
      </c>
      <c r="D7" s="67"/>
      <c r="E7" s="69"/>
      <c r="F7" s="69"/>
      <c r="G7" s="70"/>
      <c r="H7" s="70"/>
      <c r="I7" s="71" t="s">
        <v>38</v>
      </c>
      <c r="J7" s="71"/>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3">
        <f t="shared" ref="AM7:AN7" si="5">AM6+1</f>
        <v>4</v>
      </c>
      <c r="AN7" s="73">
        <f t="shared" si="5"/>
        <v>4</v>
      </c>
      <c r="AO7" s="74"/>
      <c r="AP7" s="75"/>
      <c r="AQ7" s="78"/>
      <c r="AR7" s="73"/>
      <c r="AS7" s="78"/>
      <c r="AT7" s="74"/>
      <c r="AU7" s="73"/>
      <c r="AV7" s="74"/>
      <c r="AW7" s="78"/>
      <c r="AX7" s="73"/>
      <c r="AY7" s="79"/>
      <c r="AZ7" s="73"/>
      <c r="BA7" s="73"/>
      <c r="BB7" s="73"/>
    </row>
    <row r="8" ht="15.75" customHeight="1">
      <c r="A8" s="81"/>
      <c r="B8" s="82">
        <f t="shared" si="2"/>
        <v>5</v>
      </c>
      <c r="C8" s="83">
        <f t="shared" si="3"/>
        <v>45439</v>
      </c>
      <c r="D8" s="84"/>
      <c r="E8" s="85"/>
      <c r="F8" s="85"/>
      <c r="G8" s="86"/>
      <c r="H8" s="86"/>
      <c r="I8" s="87"/>
      <c r="J8" s="87"/>
      <c r="K8" s="86"/>
      <c r="L8" s="86"/>
      <c r="M8" s="88"/>
      <c r="N8" s="88"/>
      <c r="O8" s="86"/>
      <c r="P8" s="84"/>
      <c r="Q8" s="84"/>
      <c r="R8" s="84"/>
      <c r="S8" s="84"/>
      <c r="T8" s="84"/>
      <c r="U8" s="84"/>
      <c r="V8" s="84"/>
      <c r="W8" s="84"/>
      <c r="X8" s="84"/>
      <c r="Y8" s="84"/>
      <c r="Z8" s="84"/>
      <c r="AA8" s="84"/>
      <c r="AB8" s="84"/>
      <c r="AC8" s="84"/>
      <c r="AD8" s="84"/>
      <c r="AE8" s="84"/>
      <c r="AF8" s="84"/>
      <c r="AG8" s="86"/>
      <c r="AH8" s="86"/>
      <c r="AI8" s="86"/>
      <c r="AJ8" s="86"/>
      <c r="AK8" s="86"/>
      <c r="AL8" s="86"/>
      <c r="AM8" s="89">
        <f t="shared" ref="AM8:AN8" si="6">AM7+1</f>
        <v>5</v>
      </c>
      <c r="AN8" s="89">
        <f t="shared" si="6"/>
        <v>5</v>
      </c>
      <c r="AO8" s="90"/>
      <c r="AP8" s="91"/>
      <c r="AQ8" s="92"/>
      <c r="AR8" s="89"/>
      <c r="AS8" s="92"/>
      <c r="AT8" s="90"/>
      <c r="AU8" s="89"/>
      <c r="AV8" s="90"/>
      <c r="AW8" s="92"/>
      <c r="AX8" s="89"/>
      <c r="AY8" s="93"/>
      <c r="AZ8" s="89"/>
      <c r="BA8" s="89"/>
      <c r="BB8" s="89"/>
    </row>
    <row r="9" ht="15.75" customHeight="1">
      <c r="A9" s="46"/>
      <c r="B9" s="47">
        <f t="shared" si="2"/>
        <v>6</v>
      </c>
      <c r="C9" s="94">
        <f t="shared" si="3"/>
        <v>45446</v>
      </c>
      <c r="D9" s="56"/>
      <c r="E9" s="51"/>
      <c r="F9" s="51"/>
      <c r="G9" s="52"/>
      <c r="H9" s="52"/>
      <c r="I9" s="95"/>
      <c r="J9" s="54"/>
      <c r="K9" s="52"/>
      <c r="L9" s="52"/>
      <c r="M9" s="96"/>
      <c r="N9" s="96"/>
      <c r="O9" s="52"/>
      <c r="P9" s="56"/>
      <c r="Q9" s="56"/>
      <c r="R9" s="56"/>
      <c r="S9" s="56"/>
      <c r="T9" s="56"/>
      <c r="U9" s="56"/>
      <c r="V9" s="56"/>
      <c r="W9" s="56"/>
      <c r="X9" s="56"/>
      <c r="Y9" s="56"/>
      <c r="Z9" s="56"/>
      <c r="AA9" s="56"/>
      <c r="AB9" s="56"/>
      <c r="AC9" s="56"/>
      <c r="AD9" s="56"/>
      <c r="AE9" s="56"/>
      <c r="AF9" s="56"/>
      <c r="AG9" s="52"/>
      <c r="AH9" s="52"/>
      <c r="AI9" s="52"/>
      <c r="AJ9" s="52"/>
      <c r="AK9" s="52"/>
      <c r="AL9" s="52"/>
      <c r="AM9" s="57">
        <f t="shared" ref="AM9:AN9" si="7">AM8+1</f>
        <v>6</v>
      </c>
      <c r="AN9" s="57">
        <f t="shared" si="7"/>
        <v>6</v>
      </c>
      <c r="AO9" s="58"/>
      <c r="AP9" s="62"/>
      <c r="AQ9" s="57"/>
      <c r="AR9" s="57"/>
      <c r="AS9" s="62"/>
      <c r="AT9" s="58"/>
      <c r="AU9" s="57"/>
      <c r="AV9" s="58"/>
      <c r="AW9" s="62"/>
      <c r="AX9" s="57"/>
      <c r="AY9" s="97"/>
      <c r="AZ9" s="57"/>
      <c r="BA9" s="57"/>
      <c r="BB9" s="57"/>
    </row>
    <row r="10" ht="15.75" customHeight="1">
      <c r="A10" s="64" t="s">
        <v>39</v>
      </c>
      <c r="B10" s="65">
        <f t="shared" si="2"/>
        <v>7</v>
      </c>
      <c r="C10" s="66">
        <f t="shared" si="3"/>
        <v>45453</v>
      </c>
      <c r="D10" s="70"/>
      <c r="E10" s="98"/>
      <c r="F10" s="69"/>
      <c r="G10" s="70"/>
      <c r="H10" s="70"/>
      <c r="I10" s="71"/>
      <c r="J10" s="71"/>
      <c r="K10" s="70"/>
      <c r="L10" s="70"/>
      <c r="M10" s="99"/>
      <c r="N10" s="99"/>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3">
        <f t="shared" ref="AM10:AN10" si="8">AM9+1</f>
        <v>7</v>
      </c>
      <c r="AN10" s="100">
        <f t="shared" si="8"/>
        <v>7</v>
      </c>
      <c r="AO10" s="74"/>
      <c r="AP10" s="78"/>
      <c r="AQ10" s="73"/>
      <c r="AR10" s="73"/>
      <c r="AS10" s="101"/>
      <c r="AT10" s="74"/>
      <c r="AU10" s="102"/>
      <c r="AV10" s="74"/>
      <c r="AW10" s="78"/>
      <c r="AX10" s="73"/>
      <c r="AY10" s="79"/>
      <c r="AZ10" s="73"/>
      <c r="BA10" s="73"/>
      <c r="BB10" s="73"/>
    </row>
    <row r="11">
      <c r="A11" s="80">
        <f>C9</f>
        <v>45446</v>
      </c>
      <c r="B11" s="65">
        <f t="shared" si="2"/>
        <v>8</v>
      </c>
      <c r="C11" s="66">
        <f t="shared" si="3"/>
        <v>45460</v>
      </c>
      <c r="D11" s="70"/>
      <c r="E11" s="98"/>
      <c r="F11" s="69"/>
      <c r="G11" s="70"/>
      <c r="H11" s="70"/>
      <c r="I11" s="71"/>
      <c r="J11" s="71"/>
      <c r="K11" s="70"/>
      <c r="L11" s="70"/>
      <c r="M11" s="99"/>
      <c r="N11" s="99"/>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3">
        <f t="shared" ref="AM11:AN11" si="9">AM10+1</f>
        <v>8</v>
      </c>
      <c r="AN11" s="73">
        <f t="shared" si="9"/>
        <v>8</v>
      </c>
      <c r="AO11" s="74"/>
      <c r="AP11" s="78"/>
      <c r="AQ11" s="103" t="s">
        <v>40</v>
      </c>
      <c r="AR11" s="73"/>
      <c r="AS11" s="78"/>
      <c r="AT11" s="74"/>
      <c r="AU11" s="73"/>
      <c r="AV11" s="74"/>
      <c r="AW11" s="78"/>
      <c r="AX11" s="73"/>
      <c r="AY11" s="79"/>
      <c r="AZ11" s="73"/>
      <c r="BA11" s="73"/>
      <c r="BB11" s="73"/>
    </row>
    <row r="12">
      <c r="A12" s="64"/>
      <c r="B12" s="82">
        <f t="shared" si="2"/>
        <v>9</v>
      </c>
      <c r="C12" s="83">
        <f t="shared" si="3"/>
        <v>45467</v>
      </c>
      <c r="D12" s="84"/>
      <c r="E12" s="104"/>
      <c r="F12" s="85"/>
      <c r="G12" s="86"/>
      <c r="H12" s="86"/>
      <c r="I12" s="87"/>
      <c r="J12" s="87"/>
      <c r="K12" s="86"/>
      <c r="L12" s="86"/>
      <c r="M12" s="88"/>
      <c r="N12" s="88"/>
      <c r="O12" s="86"/>
      <c r="P12" s="84"/>
      <c r="Q12" s="84"/>
      <c r="R12" s="84"/>
      <c r="S12" s="84"/>
      <c r="T12" s="84"/>
      <c r="U12" s="84"/>
      <c r="V12" s="84"/>
      <c r="W12" s="84"/>
      <c r="X12" s="84"/>
      <c r="Y12" s="84"/>
      <c r="Z12" s="84"/>
      <c r="AA12" s="84"/>
      <c r="AB12" s="84"/>
      <c r="AC12" s="84"/>
      <c r="AD12" s="84"/>
      <c r="AE12" s="84"/>
      <c r="AF12" s="84"/>
      <c r="AG12" s="86"/>
      <c r="AH12" s="86"/>
      <c r="AI12" s="86"/>
      <c r="AJ12" s="86"/>
      <c r="AK12" s="86"/>
      <c r="AL12" s="86"/>
      <c r="AM12" s="89">
        <f t="shared" ref="AM12:AN12" si="10">AM11+1</f>
        <v>9</v>
      </c>
      <c r="AN12" s="89">
        <f t="shared" si="10"/>
        <v>9</v>
      </c>
      <c r="AO12" s="90"/>
      <c r="AP12" s="92"/>
      <c r="AQ12" s="76" t="s">
        <v>41</v>
      </c>
      <c r="AR12" s="89"/>
      <c r="AS12" s="92"/>
      <c r="AT12" s="90"/>
      <c r="AU12" s="89"/>
      <c r="AV12" s="90"/>
      <c r="AW12" s="92"/>
      <c r="AX12" s="89"/>
      <c r="AY12" s="93"/>
      <c r="AZ12" s="89"/>
      <c r="BA12" s="89"/>
      <c r="BB12" s="89"/>
    </row>
    <row r="13" ht="15.75" customHeight="1">
      <c r="A13" s="105"/>
      <c r="B13" s="47">
        <f t="shared" si="2"/>
        <v>10</v>
      </c>
      <c r="C13" s="94">
        <f t="shared" si="3"/>
        <v>45474</v>
      </c>
      <c r="D13" s="56"/>
      <c r="E13" s="106"/>
      <c r="F13" s="51"/>
      <c r="G13" s="52"/>
      <c r="H13" s="52"/>
      <c r="I13" s="54"/>
      <c r="J13" s="54"/>
      <c r="K13" s="52"/>
      <c r="L13" s="52"/>
      <c r="M13" s="96"/>
      <c r="N13" s="96"/>
      <c r="O13" s="96"/>
      <c r="P13" s="56"/>
      <c r="Q13" s="56"/>
      <c r="R13" s="56"/>
      <c r="S13" s="56"/>
      <c r="T13" s="56"/>
      <c r="U13" s="52"/>
      <c r="V13" s="56"/>
      <c r="W13" s="56"/>
      <c r="X13" s="56"/>
      <c r="Y13" s="56"/>
      <c r="Z13" s="56"/>
      <c r="AA13" s="56"/>
      <c r="AB13" s="56"/>
      <c r="AC13" s="56"/>
      <c r="AD13" s="56"/>
      <c r="AE13" s="56"/>
      <c r="AF13" s="56"/>
      <c r="AG13" s="52"/>
      <c r="AH13" s="52"/>
      <c r="AI13" s="52"/>
      <c r="AJ13" s="52"/>
      <c r="AK13" s="52"/>
      <c r="AL13" s="52"/>
      <c r="AM13" s="57">
        <f t="shared" ref="AM13:AN13" si="11">AM12+1</f>
        <v>10</v>
      </c>
      <c r="AN13" s="57">
        <f t="shared" si="11"/>
        <v>10</v>
      </c>
      <c r="AO13" s="58"/>
      <c r="AP13" s="62">
        <f t="shared" ref="AP13:AP107" si="13">AP12+1</f>
        <v>1</v>
      </c>
      <c r="AQ13" s="107" t="s">
        <v>42</v>
      </c>
      <c r="AR13" s="57"/>
      <c r="AS13" s="62">
        <f t="shared" ref="AS13:AS107" si="14">AS12+1</f>
        <v>1</v>
      </c>
      <c r="AT13" s="58"/>
      <c r="AU13" s="57"/>
      <c r="AV13" s="58"/>
      <c r="AW13" s="62"/>
      <c r="AX13" s="57"/>
      <c r="AY13" s="97"/>
      <c r="AZ13" s="57"/>
      <c r="BA13" s="57"/>
      <c r="BB13" s="57"/>
    </row>
    <row r="14" ht="15.75" customHeight="1">
      <c r="A14" s="64" t="s">
        <v>43</v>
      </c>
      <c r="B14" s="65">
        <f t="shared" si="2"/>
        <v>11</v>
      </c>
      <c r="C14" s="66">
        <f t="shared" si="3"/>
        <v>45481</v>
      </c>
      <c r="D14" s="72"/>
      <c r="E14" s="98"/>
      <c r="F14" s="69"/>
      <c r="G14" s="70"/>
      <c r="H14" s="70"/>
      <c r="I14" s="71"/>
      <c r="J14" s="71"/>
      <c r="K14" s="70"/>
      <c r="L14" s="70"/>
      <c r="M14" s="99"/>
      <c r="N14" s="99"/>
      <c r="O14" s="99"/>
      <c r="P14" s="72"/>
      <c r="Q14" s="72"/>
      <c r="R14" s="72"/>
      <c r="S14" s="72"/>
      <c r="T14" s="72"/>
      <c r="U14" s="72"/>
      <c r="V14" s="72"/>
      <c r="W14" s="72"/>
      <c r="X14" s="72"/>
      <c r="Y14" s="72"/>
      <c r="Z14" s="72"/>
      <c r="AA14" s="72"/>
      <c r="AB14" s="72"/>
      <c r="AC14" s="72"/>
      <c r="AD14" s="72"/>
      <c r="AE14" s="72"/>
      <c r="AF14" s="72"/>
      <c r="AG14" s="70"/>
      <c r="AH14" s="70"/>
      <c r="AI14" s="70"/>
      <c r="AJ14" s="70"/>
      <c r="AK14" s="70"/>
      <c r="AL14" s="70"/>
      <c r="AM14" s="73">
        <f t="shared" ref="AM14:AN14" si="12">AM13+1</f>
        <v>11</v>
      </c>
      <c r="AN14" s="73">
        <f t="shared" si="12"/>
        <v>11</v>
      </c>
      <c r="AO14" s="74"/>
      <c r="AP14" s="78">
        <f t="shared" si="13"/>
        <v>2</v>
      </c>
      <c r="AQ14" s="73"/>
      <c r="AR14" s="73"/>
      <c r="AS14" s="78">
        <f t="shared" si="14"/>
        <v>2</v>
      </c>
      <c r="AT14" s="74"/>
      <c r="AU14" s="73"/>
      <c r="AV14" s="74"/>
      <c r="AW14" s="78"/>
      <c r="AX14" s="73"/>
      <c r="AY14" s="79"/>
      <c r="AZ14" s="73"/>
      <c r="BA14" s="73"/>
      <c r="BB14" s="73"/>
    </row>
    <row r="15" ht="15.75" customHeight="1">
      <c r="A15" s="80">
        <f>C13</f>
        <v>45474</v>
      </c>
      <c r="B15" s="65">
        <f t="shared" si="2"/>
        <v>12</v>
      </c>
      <c r="C15" s="66">
        <f t="shared" si="3"/>
        <v>45488</v>
      </c>
      <c r="D15" s="70"/>
      <c r="E15" s="98"/>
      <c r="F15" s="69"/>
      <c r="G15" s="70"/>
      <c r="H15" s="70"/>
      <c r="I15" s="71"/>
      <c r="J15" s="71"/>
      <c r="K15" s="70"/>
      <c r="L15" s="70"/>
      <c r="M15" s="99"/>
      <c r="N15" s="99"/>
      <c r="O15" s="99"/>
      <c r="P15" s="70"/>
      <c r="Q15" s="108"/>
      <c r="R15" s="72"/>
      <c r="S15" s="72"/>
      <c r="T15" s="72"/>
      <c r="U15" s="70"/>
      <c r="V15" s="70"/>
      <c r="W15" s="70"/>
      <c r="X15" s="70"/>
      <c r="Y15" s="70"/>
      <c r="Z15" s="70"/>
      <c r="AA15" s="70"/>
      <c r="AB15" s="70"/>
      <c r="AC15" s="70"/>
      <c r="AD15" s="70"/>
      <c r="AE15" s="70"/>
      <c r="AF15" s="70"/>
      <c r="AG15" s="70"/>
      <c r="AH15" s="70"/>
      <c r="AI15" s="70"/>
      <c r="AJ15" s="70"/>
      <c r="AK15" s="70"/>
      <c r="AL15" s="70"/>
      <c r="AM15" s="73">
        <f t="shared" ref="AM15:AN15" si="15">AM14+1</f>
        <v>12</v>
      </c>
      <c r="AN15" s="100">
        <f t="shared" si="15"/>
        <v>12</v>
      </c>
      <c r="AO15" s="74"/>
      <c r="AP15" s="78">
        <f t="shared" si="13"/>
        <v>3</v>
      </c>
      <c r="AQ15" s="73"/>
      <c r="AR15" s="73"/>
      <c r="AS15" s="78">
        <f t="shared" si="14"/>
        <v>3</v>
      </c>
      <c r="AT15" s="74"/>
      <c r="AU15" s="102"/>
      <c r="AV15" s="74"/>
      <c r="AW15" s="78"/>
      <c r="AX15" s="73"/>
      <c r="AY15" s="79"/>
      <c r="AZ15" s="73"/>
      <c r="BA15" s="73"/>
      <c r="BB15" s="73"/>
    </row>
    <row r="16" ht="15.75" customHeight="1">
      <c r="A16" s="64"/>
      <c r="B16" s="65">
        <f t="shared" si="2"/>
        <v>13</v>
      </c>
      <c r="C16" s="66">
        <f t="shared" si="3"/>
        <v>45495</v>
      </c>
      <c r="D16" s="70"/>
      <c r="E16" s="98"/>
      <c r="F16" s="69"/>
      <c r="G16" s="70"/>
      <c r="H16" s="70"/>
      <c r="I16" s="71"/>
      <c r="J16" s="71"/>
      <c r="K16" s="70"/>
      <c r="L16" s="70"/>
      <c r="M16" s="99"/>
      <c r="N16" s="99"/>
      <c r="O16" s="99"/>
      <c r="P16" s="72"/>
      <c r="Q16" s="108"/>
      <c r="R16" s="72"/>
      <c r="S16" s="72"/>
      <c r="T16" s="72"/>
      <c r="U16" s="70"/>
      <c r="V16" s="70"/>
      <c r="W16" s="70"/>
      <c r="X16" s="70"/>
      <c r="Y16" s="70"/>
      <c r="Z16" s="70"/>
      <c r="AA16" s="70"/>
      <c r="AB16" s="70"/>
      <c r="AC16" s="70"/>
      <c r="AD16" s="70"/>
      <c r="AE16" s="70"/>
      <c r="AF16" s="70"/>
      <c r="AG16" s="70"/>
      <c r="AH16" s="70"/>
      <c r="AI16" s="70"/>
      <c r="AJ16" s="70"/>
      <c r="AK16" s="70"/>
      <c r="AL16" s="70"/>
      <c r="AM16" s="73">
        <f t="shared" ref="AM16:AN16" si="16">AM15+1</f>
        <v>13</v>
      </c>
      <c r="AN16" s="73">
        <f t="shared" si="16"/>
        <v>13</v>
      </c>
      <c r="AO16" s="74"/>
      <c r="AP16" s="78">
        <f t="shared" si="13"/>
        <v>4</v>
      </c>
      <c r="AQ16" s="73"/>
      <c r="AR16" s="73"/>
      <c r="AS16" s="78">
        <f t="shared" si="14"/>
        <v>4</v>
      </c>
      <c r="AT16" s="74"/>
      <c r="AU16" s="73"/>
      <c r="AV16" s="74"/>
      <c r="AW16" s="78"/>
      <c r="AX16" s="73"/>
      <c r="AY16" s="79"/>
      <c r="AZ16" s="73"/>
      <c r="BA16" s="73"/>
      <c r="BB16" s="73"/>
    </row>
    <row r="17" ht="15.75" customHeight="1">
      <c r="A17" s="109"/>
      <c r="B17" s="82">
        <f t="shared" si="2"/>
        <v>14</v>
      </c>
      <c r="C17" s="83">
        <f t="shared" si="3"/>
        <v>45502</v>
      </c>
      <c r="D17" s="84"/>
      <c r="E17" s="85"/>
      <c r="F17" s="85"/>
      <c r="G17" s="86"/>
      <c r="H17" s="86"/>
      <c r="I17" s="87"/>
      <c r="J17" s="87"/>
      <c r="K17" s="86"/>
      <c r="L17" s="86"/>
      <c r="M17" s="88"/>
      <c r="N17" s="88"/>
      <c r="O17" s="88"/>
      <c r="P17" s="84"/>
      <c r="Q17" s="110"/>
      <c r="R17" s="84"/>
      <c r="S17" s="84"/>
      <c r="T17" s="84"/>
      <c r="U17" s="84"/>
      <c r="V17" s="84"/>
      <c r="W17" s="84"/>
      <c r="X17" s="84"/>
      <c r="Y17" s="84"/>
      <c r="Z17" s="84"/>
      <c r="AA17" s="84"/>
      <c r="AB17" s="84"/>
      <c r="AC17" s="84"/>
      <c r="AD17" s="84"/>
      <c r="AE17" s="84"/>
      <c r="AF17" s="84"/>
      <c r="AG17" s="86"/>
      <c r="AH17" s="86"/>
      <c r="AI17" s="86"/>
      <c r="AJ17" s="86"/>
      <c r="AK17" s="86"/>
      <c r="AL17" s="86"/>
      <c r="AM17" s="89">
        <f t="shared" ref="AM17:AN17" si="17">AM16+1</f>
        <v>14</v>
      </c>
      <c r="AN17" s="89">
        <f t="shared" si="17"/>
        <v>14</v>
      </c>
      <c r="AO17" s="90"/>
      <c r="AP17" s="92">
        <f t="shared" si="13"/>
        <v>5</v>
      </c>
      <c r="AQ17" s="89"/>
      <c r="AR17" s="89"/>
      <c r="AS17" s="92">
        <f t="shared" si="14"/>
        <v>5</v>
      </c>
      <c r="AT17" s="90"/>
      <c r="AU17" s="89"/>
      <c r="AV17" s="90"/>
      <c r="AW17" s="92"/>
      <c r="AX17" s="89"/>
      <c r="AY17" s="93"/>
      <c r="AZ17" s="89"/>
      <c r="BA17" s="89"/>
      <c r="BB17" s="89"/>
    </row>
    <row r="18" ht="15.75" customHeight="1">
      <c r="A18" s="46"/>
      <c r="B18" s="47">
        <f t="shared" si="2"/>
        <v>15</v>
      </c>
      <c r="C18" s="94">
        <f t="shared" si="3"/>
        <v>45509</v>
      </c>
      <c r="D18" s="56"/>
      <c r="E18" s="51"/>
      <c r="F18" s="51"/>
      <c r="G18" s="52"/>
      <c r="H18" s="52"/>
      <c r="I18" s="54"/>
      <c r="J18" s="54"/>
      <c r="K18" s="52"/>
      <c r="L18" s="52"/>
      <c r="M18" s="96"/>
      <c r="N18" s="96"/>
      <c r="O18" s="96"/>
      <c r="P18" s="56"/>
      <c r="Q18" s="111" t="s">
        <v>44</v>
      </c>
      <c r="R18" s="56"/>
      <c r="S18" s="56"/>
      <c r="T18" s="56"/>
      <c r="U18" s="56"/>
      <c r="V18" s="56"/>
      <c r="W18" s="56"/>
      <c r="X18" s="56"/>
      <c r="Y18" s="56"/>
      <c r="Z18" s="56"/>
      <c r="AA18" s="56"/>
      <c r="AB18" s="56"/>
      <c r="AC18" s="56"/>
      <c r="AD18" s="56"/>
      <c r="AE18" s="56"/>
      <c r="AF18" s="56"/>
      <c r="AG18" s="52"/>
      <c r="AH18" s="52"/>
      <c r="AI18" s="52"/>
      <c r="AJ18" s="52"/>
      <c r="AK18" s="52"/>
      <c r="AL18" s="52"/>
      <c r="AM18" s="57">
        <f t="shared" ref="AM18:AN18" si="18">AM17+1</f>
        <v>15</v>
      </c>
      <c r="AN18" s="57">
        <f t="shared" si="18"/>
        <v>15</v>
      </c>
      <c r="AO18" s="58"/>
      <c r="AP18" s="62">
        <f t="shared" si="13"/>
        <v>6</v>
      </c>
      <c r="AQ18" s="57"/>
      <c r="AR18" s="57"/>
      <c r="AS18" s="62">
        <f t="shared" si="14"/>
        <v>6</v>
      </c>
      <c r="AT18" s="58"/>
      <c r="AU18" s="57"/>
      <c r="AV18" s="58"/>
      <c r="AW18" s="62"/>
      <c r="AX18" s="57"/>
      <c r="AY18" s="97"/>
      <c r="AZ18" s="57"/>
      <c r="BA18" s="57"/>
      <c r="BB18" s="57"/>
    </row>
    <row r="19" ht="15.75" customHeight="1">
      <c r="A19" s="64" t="s">
        <v>45</v>
      </c>
      <c r="B19" s="65">
        <f t="shared" si="2"/>
        <v>16</v>
      </c>
      <c r="C19" s="66">
        <f t="shared" si="3"/>
        <v>45516</v>
      </c>
      <c r="D19" s="70"/>
      <c r="E19" s="69"/>
      <c r="F19" s="69"/>
      <c r="G19" s="70"/>
      <c r="H19" s="70"/>
      <c r="I19" s="71"/>
      <c r="J19" s="71"/>
      <c r="K19" s="70"/>
      <c r="L19" s="70"/>
      <c r="M19" s="99"/>
      <c r="N19" s="99"/>
      <c r="O19" s="99"/>
      <c r="P19" s="70"/>
      <c r="Q19" s="108" t="s">
        <v>46</v>
      </c>
      <c r="R19" s="72"/>
      <c r="S19" s="72"/>
      <c r="T19" s="72"/>
      <c r="U19" s="72"/>
      <c r="V19" s="70"/>
      <c r="W19" s="70"/>
      <c r="X19" s="70"/>
      <c r="Y19" s="70"/>
      <c r="Z19" s="70"/>
      <c r="AA19" s="70"/>
      <c r="AB19" s="70"/>
      <c r="AC19" s="70"/>
      <c r="AD19" s="70"/>
      <c r="AE19" s="70"/>
      <c r="AF19" s="70"/>
      <c r="AG19" s="70"/>
      <c r="AH19" s="70"/>
      <c r="AI19" s="70"/>
      <c r="AJ19" s="70"/>
      <c r="AK19" s="70"/>
      <c r="AL19" s="70"/>
      <c r="AM19" s="73">
        <f t="shared" ref="AM19:AN19" si="19">AM18+1</f>
        <v>16</v>
      </c>
      <c r="AN19" s="100">
        <f t="shared" si="19"/>
        <v>16</v>
      </c>
      <c r="AO19" s="74"/>
      <c r="AP19" s="78">
        <f t="shared" si="13"/>
        <v>7</v>
      </c>
      <c r="AQ19" s="73"/>
      <c r="AR19" s="73"/>
      <c r="AS19" s="78">
        <f t="shared" si="14"/>
        <v>7</v>
      </c>
      <c r="AT19" s="74"/>
      <c r="AU19" s="102"/>
      <c r="AV19" s="74"/>
      <c r="AW19" s="78"/>
      <c r="AX19" s="100"/>
      <c r="AY19" s="112"/>
      <c r="AZ19" s="73"/>
      <c r="BA19" s="73"/>
      <c r="BB19" s="73"/>
    </row>
    <row r="20" ht="15.75" customHeight="1">
      <c r="A20" s="80">
        <f>C18</f>
        <v>45509</v>
      </c>
      <c r="B20" s="65">
        <f t="shared" si="2"/>
        <v>17</v>
      </c>
      <c r="C20" s="66">
        <f t="shared" si="3"/>
        <v>45523</v>
      </c>
      <c r="D20" s="70"/>
      <c r="E20" s="69"/>
      <c r="F20" s="69"/>
      <c r="G20" s="70"/>
      <c r="H20" s="70"/>
      <c r="I20" s="71"/>
      <c r="J20" s="71"/>
      <c r="K20" s="70"/>
      <c r="L20" s="70"/>
      <c r="M20" s="99"/>
      <c r="N20" s="99"/>
      <c r="O20" s="99"/>
      <c r="P20" s="70"/>
      <c r="Q20" s="113"/>
      <c r="R20" s="114"/>
      <c r="S20" s="114"/>
      <c r="T20" s="114"/>
      <c r="U20" s="114"/>
      <c r="V20" s="115"/>
      <c r="W20" s="72"/>
      <c r="X20" s="72"/>
      <c r="Y20" s="72"/>
      <c r="Z20" s="72"/>
      <c r="AA20" s="72"/>
      <c r="AB20" s="70"/>
      <c r="AC20" s="70"/>
      <c r="AD20" s="70"/>
      <c r="AE20" s="70"/>
      <c r="AF20" s="70"/>
      <c r="AG20" s="70"/>
      <c r="AH20" s="70"/>
      <c r="AI20" s="70"/>
      <c r="AJ20" s="70"/>
      <c r="AK20" s="70"/>
      <c r="AL20" s="70"/>
      <c r="AM20" s="73">
        <f t="shared" ref="AM20:AN20" si="20">AM19+1</f>
        <v>17</v>
      </c>
      <c r="AN20" s="102">
        <f t="shared" si="20"/>
        <v>17</v>
      </c>
      <c r="AO20" s="116"/>
      <c r="AP20" s="78">
        <f t="shared" si="13"/>
        <v>8</v>
      </c>
      <c r="AQ20" s="102"/>
      <c r="AR20" s="117"/>
      <c r="AS20" s="78">
        <f t="shared" si="14"/>
        <v>8</v>
      </c>
      <c r="AT20" s="118"/>
      <c r="AU20" s="73"/>
      <c r="AV20" s="119"/>
      <c r="AW20" s="78"/>
      <c r="AX20" s="73"/>
      <c r="AY20" s="79"/>
      <c r="AZ20" s="73"/>
      <c r="BA20" s="73"/>
      <c r="BB20" s="102"/>
    </row>
    <row r="21">
      <c r="A21" s="64"/>
      <c r="B21" s="82">
        <f t="shared" si="2"/>
        <v>18</v>
      </c>
      <c r="C21" s="83">
        <f t="shared" si="3"/>
        <v>45530</v>
      </c>
      <c r="D21" s="84"/>
      <c r="E21" s="85"/>
      <c r="F21" s="85"/>
      <c r="G21" s="86"/>
      <c r="H21" s="86"/>
      <c r="I21" s="87"/>
      <c r="J21" s="87"/>
      <c r="K21" s="86"/>
      <c r="L21" s="86"/>
      <c r="M21" s="88"/>
      <c r="N21" s="88"/>
      <c r="O21" s="88"/>
      <c r="P21" s="120"/>
      <c r="Q21" s="121" t="s">
        <v>47</v>
      </c>
      <c r="R21" s="122"/>
      <c r="S21" s="114"/>
      <c r="T21" s="120"/>
      <c r="U21" s="120"/>
      <c r="V21" s="84"/>
      <c r="W21" s="84"/>
      <c r="X21" s="84"/>
      <c r="Y21" s="84"/>
      <c r="Z21" s="84"/>
      <c r="AA21" s="84"/>
      <c r="AB21" s="84"/>
      <c r="AC21" s="84"/>
      <c r="AD21" s="84"/>
      <c r="AE21" s="84"/>
      <c r="AF21" s="84"/>
      <c r="AG21" s="86"/>
      <c r="AH21" s="86"/>
      <c r="AI21" s="86"/>
      <c r="AJ21" s="86"/>
      <c r="AK21" s="86"/>
      <c r="AL21" s="86"/>
      <c r="AM21" s="89">
        <f t="shared" ref="AM21:AN21" si="21">AM20+1</f>
        <v>18</v>
      </c>
      <c r="AN21" s="89">
        <f t="shared" si="21"/>
        <v>18</v>
      </c>
      <c r="AO21" s="90"/>
      <c r="AP21" s="92">
        <f t="shared" si="13"/>
        <v>9</v>
      </c>
      <c r="AQ21" s="89"/>
      <c r="AR21" s="89"/>
      <c r="AS21" s="92">
        <f t="shared" si="14"/>
        <v>9</v>
      </c>
      <c r="AT21" s="90"/>
      <c r="AU21" s="123"/>
      <c r="AV21" s="90"/>
      <c r="AW21" s="92"/>
      <c r="AX21" s="89"/>
      <c r="AY21" s="93"/>
      <c r="AZ21" s="89"/>
      <c r="BA21" s="89"/>
      <c r="BB21" s="89"/>
    </row>
    <row r="22" ht="15.75" customHeight="1">
      <c r="A22" s="124"/>
      <c r="B22" s="47">
        <f t="shared" si="2"/>
        <v>19</v>
      </c>
      <c r="C22" s="94">
        <f t="shared" si="3"/>
        <v>45537</v>
      </c>
      <c r="D22" s="56"/>
      <c r="E22" s="106"/>
      <c r="F22" s="51"/>
      <c r="G22" s="52"/>
      <c r="H22" s="52"/>
      <c r="I22" s="54"/>
      <c r="J22" s="54"/>
      <c r="K22" s="52"/>
      <c r="L22" s="52"/>
      <c r="M22" s="125"/>
      <c r="N22" s="96"/>
      <c r="O22" s="96"/>
      <c r="P22" s="126"/>
      <c r="Q22" s="127" t="s">
        <v>48</v>
      </c>
      <c r="R22" s="128"/>
      <c r="S22" s="126"/>
      <c r="T22" s="126"/>
      <c r="U22" s="126"/>
      <c r="V22" s="52"/>
      <c r="W22" s="52"/>
      <c r="X22" s="52"/>
      <c r="Y22" s="52"/>
      <c r="Z22" s="52"/>
      <c r="AA22" s="52"/>
      <c r="AB22" s="56"/>
      <c r="AC22" s="56"/>
      <c r="AD22" s="56"/>
      <c r="AE22" s="56"/>
      <c r="AF22" s="56"/>
      <c r="AG22" s="52"/>
      <c r="AH22" s="52"/>
      <c r="AI22" s="52"/>
      <c r="AJ22" s="52"/>
      <c r="AK22" s="52"/>
      <c r="AL22" s="52"/>
      <c r="AM22" s="57">
        <f t="shared" ref="AM22:AN22" si="22">AM21+1</f>
        <v>19</v>
      </c>
      <c r="AN22" s="57">
        <f t="shared" si="22"/>
        <v>19</v>
      </c>
      <c r="AO22" s="58"/>
      <c r="AP22" s="62">
        <f t="shared" si="13"/>
        <v>10</v>
      </c>
      <c r="AQ22" s="57"/>
      <c r="AR22" s="57"/>
      <c r="AS22" s="62">
        <f t="shared" si="14"/>
        <v>10</v>
      </c>
      <c r="AT22" s="58"/>
      <c r="AU22" s="129"/>
      <c r="AV22" s="58"/>
      <c r="AW22" s="62"/>
      <c r="AX22" s="57"/>
      <c r="AY22" s="97"/>
      <c r="AZ22" s="57"/>
      <c r="BA22" s="57"/>
      <c r="BB22" s="57"/>
    </row>
    <row r="23" ht="15.75" customHeight="1">
      <c r="A23" s="64" t="s">
        <v>49</v>
      </c>
      <c r="B23" s="65">
        <f t="shared" si="2"/>
        <v>20</v>
      </c>
      <c r="C23" s="66">
        <f t="shared" si="3"/>
        <v>45544</v>
      </c>
      <c r="D23" s="72"/>
      <c r="E23" s="69"/>
      <c r="F23" s="69"/>
      <c r="G23" s="70"/>
      <c r="H23" s="70"/>
      <c r="I23" s="71"/>
      <c r="J23" s="71"/>
      <c r="K23" s="70"/>
      <c r="L23" s="70"/>
      <c r="M23" s="130"/>
      <c r="N23" s="99"/>
      <c r="O23" s="99"/>
      <c r="P23" s="114"/>
      <c r="Q23" s="131" t="s">
        <v>48</v>
      </c>
      <c r="R23" s="132"/>
      <c r="S23" s="114"/>
      <c r="T23" s="114"/>
      <c r="U23" s="114"/>
      <c r="V23" s="72"/>
      <c r="W23" s="72"/>
      <c r="X23" s="72"/>
      <c r="Y23" s="72"/>
      <c r="Z23" s="72"/>
      <c r="AA23" s="72"/>
      <c r="AB23" s="72"/>
      <c r="AC23" s="72"/>
      <c r="AD23" s="72"/>
      <c r="AE23" s="72"/>
      <c r="AF23" s="72"/>
      <c r="AG23" s="70"/>
      <c r="AH23" s="70"/>
      <c r="AI23" s="70"/>
      <c r="AJ23" s="70"/>
      <c r="AK23" s="70"/>
      <c r="AL23" s="70"/>
      <c r="AM23" s="73">
        <f t="shared" ref="AM23:AN23" si="23">AM22+1</f>
        <v>20</v>
      </c>
      <c r="AN23" s="73">
        <f t="shared" si="23"/>
        <v>20</v>
      </c>
      <c r="AO23" s="74"/>
      <c r="AP23" s="78">
        <f t="shared" si="13"/>
        <v>11</v>
      </c>
      <c r="AQ23" s="73"/>
      <c r="AR23" s="73"/>
      <c r="AS23" s="78">
        <f t="shared" si="14"/>
        <v>11</v>
      </c>
      <c r="AT23" s="74"/>
      <c r="AU23" s="100"/>
      <c r="AV23" s="74"/>
      <c r="AW23" s="78"/>
      <c r="AX23" s="73"/>
      <c r="AY23" s="79"/>
      <c r="AZ23" s="73"/>
      <c r="BA23" s="73"/>
      <c r="BB23" s="73"/>
    </row>
    <row r="24" ht="15.75" customHeight="1">
      <c r="A24" s="133">
        <f>C22</f>
        <v>45537</v>
      </c>
      <c r="B24" s="65">
        <f t="shared" si="2"/>
        <v>21</v>
      </c>
      <c r="C24" s="66">
        <f t="shared" si="3"/>
        <v>45551</v>
      </c>
      <c r="D24" s="70"/>
      <c r="E24" s="69"/>
      <c r="F24" s="69"/>
      <c r="G24" s="70"/>
      <c r="H24" s="70"/>
      <c r="I24" s="71"/>
      <c r="J24" s="71"/>
      <c r="K24" s="70"/>
      <c r="L24" s="70"/>
      <c r="M24" s="99"/>
      <c r="N24" s="99"/>
      <c r="O24" s="99"/>
      <c r="P24" s="70"/>
      <c r="Q24" s="131" t="s">
        <v>48</v>
      </c>
      <c r="R24" s="134"/>
      <c r="S24" s="70"/>
      <c r="T24" s="70"/>
      <c r="U24" s="70"/>
      <c r="V24" s="70"/>
      <c r="W24" s="70"/>
      <c r="X24" s="70"/>
      <c r="Y24" s="70"/>
      <c r="Z24" s="70"/>
      <c r="AA24" s="70"/>
      <c r="AB24" s="70"/>
      <c r="AC24" s="70"/>
      <c r="AD24" s="70"/>
      <c r="AE24" s="70"/>
      <c r="AF24" s="70"/>
      <c r="AG24" s="70"/>
      <c r="AH24" s="70"/>
      <c r="AI24" s="70"/>
      <c r="AJ24" s="70"/>
      <c r="AK24" s="70"/>
      <c r="AL24" s="70"/>
      <c r="AM24" s="73">
        <f t="shared" ref="AM24:AN24" si="24">AM23+1</f>
        <v>21</v>
      </c>
      <c r="AN24" s="100">
        <f t="shared" si="24"/>
        <v>21</v>
      </c>
      <c r="AO24" s="74"/>
      <c r="AP24" s="78">
        <f t="shared" si="13"/>
        <v>12</v>
      </c>
      <c r="AQ24" s="73"/>
      <c r="AR24" s="73"/>
      <c r="AS24" s="78">
        <f t="shared" si="14"/>
        <v>12</v>
      </c>
      <c r="AT24" s="74"/>
      <c r="AU24" s="117"/>
      <c r="AV24" s="74"/>
      <c r="AW24" s="78"/>
      <c r="AX24" s="73"/>
      <c r="AY24" s="79"/>
      <c r="AZ24" s="73"/>
      <c r="BA24" s="73"/>
      <c r="BB24" s="73"/>
    </row>
    <row r="25" ht="15.75" customHeight="1">
      <c r="A25" s="64"/>
      <c r="B25" s="65">
        <f t="shared" si="2"/>
        <v>22</v>
      </c>
      <c r="C25" s="66">
        <f t="shared" si="3"/>
        <v>45558</v>
      </c>
      <c r="D25" s="70"/>
      <c r="E25" s="69"/>
      <c r="F25" s="69"/>
      <c r="G25" s="70"/>
      <c r="H25" s="70"/>
      <c r="I25" s="71"/>
      <c r="J25" s="71"/>
      <c r="K25" s="70"/>
      <c r="L25" s="70"/>
      <c r="M25" s="99"/>
      <c r="N25" s="99"/>
      <c r="O25" s="99"/>
      <c r="P25" s="70"/>
      <c r="Q25" s="131" t="s">
        <v>48</v>
      </c>
      <c r="R25" s="134"/>
      <c r="S25" s="70"/>
      <c r="T25" s="70"/>
      <c r="U25" s="70"/>
      <c r="V25" s="115"/>
      <c r="W25" s="70"/>
      <c r="X25" s="70"/>
      <c r="Y25" s="70"/>
      <c r="Z25" s="70"/>
      <c r="AA25" s="70"/>
      <c r="AB25" s="70"/>
      <c r="AC25" s="70"/>
      <c r="AD25" s="70"/>
      <c r="AE25" s="70"/>
      <c r="AF25" s="70"/>
      <c r="AG25" s="70"/>
      <c r="AH25" s="70"/>
      <c r="AI25" s="70"/>
      <c r="AJ25" s="70"/>
      <c r="AK25" s="70"/>
      <c r="AL25" s="70"/>
      <c r="AM25" s="73">
        <f t="shared" ref="AM25:AN25" si="25">AM24+1</f>
        <v>22</v>
      </c>
      <c r="AN25" s="73">
        <f t="shared" si="25"/>
        <v>22</v>
      </c>
      <c r="AO25" s="74"/>
      <c r="AP25" s="78">
        <f t="shared" si="13"/>
        <v>13</v>
      </c>
      <c r="AQ25" s="73"/>
      <c r="AR25" s="73"/>
      <c r="AS25" s="78">
        <f t="shared" si="14"/>
        <v>13</v>
      </c>
      <c r="AT25" s="74"/>
      <c r="AU25" s="73"/>
      <c r="AV25" s="74"/>
      <c r="AW25" s="78"/>
      <c r="AX25" s="73"/>
      <c r="AY25" s="79"/>
      <c r="AZ25" s="73"/>
      <c r="BA25" s="73"/>
      <c r="BB25" s="73"/>
    </row>
    <row r="26" ht="15.75" customHeight="1">
      <c r="A26" s="135"/>
      <c r="B26" s="136">
        <f t="shared" si="2"/>
        <v>23</v>
      </c>
      <c r="C26" s="137">
        <f t="shared" si="3"/>
        <v>45565</v>
      </c>
      <c r="D26" s="138"/>
      <c r="E26" s="139"/>
      <c r="F26" s="140"/>
      <c r="G26" s="88"/>
      <c r="H26" s="88"/>
      <c r="I26" s="87"/>
      <c r="J26" s="87"/>
      <c r="K26" s="141"/>
      <c r="L26" s="141"/>
      <c r="M26" s="88"/>
      <c r="N26" s="88"/>
      <c r="O26" s="88"/>
      <c r="P26" s="86"/>
      <c r="Q26" s="142" t="s">
        <v>48</v>
      </c>
      <c r="R26" s="143"/>
      <c r="S26" s="86"/>
      <c r="T26" s="86"/>
      <c r="U26" s="86"/>
      <c r="V26" s="144"/>
      <c r="W26" s="86"/>
      <c r="X26" s="86"/>
      <c r="Y26" s="86"/>
      <c r="Z26" s="86"/>
      <c r="AA26" s="86"/>
      <c r="AB26" s="86"/>
      <c r="AC26" s="86"/>
      <c r="AD26" s="86"/>
      <c r="AE26" s="86"/>
      <c r="AF26" s="86"/>
      <c r="AG26" s="145"/>
      <c r="AH26" s="145"/>
      <c r="AI26" s="145"/>
      <c r="AJ26" s="145"/>
      <c r="AK26" s="88"/>
      <c r="AL26" s="86"/>
      <c r="AM26" s="146">
        <f t="shared" ref="AM26:AN26" si="26">AM25+1</f>
        <v>23</v>
      </c>
      <c r="AN26" s="146">
        <f t="shared" si="26"/>
        <v>23</v>
      </c>
      <c r="AO26" s="90"/>
      <c r="AP26" s="92">
        <f t="shared" si="13"/>
        <v>14</v>
      </c>
      <c r="AQ26" s="146"/>
      <c r="AR26" s="146"/>
      <c r="AS26" s="92">
        <f t="shared" si="14"/>
        <v>14</v>
      </c>
      <c r="AT26" s="90"/>
      <c r="AU26" s="146"/>
      <c r="AV26" s="90"/>
      <c r="AW26" s="147"/>
      <c r="AX26" s="146"/>
      <c r="AY26" s="93"/>
      <c r="AZ26" s="146"/>
      <c r="BA26" s="146"/>
      <c r="BB26" s="146"/>
    </row>
    <row r="27" ht="15.75" customHeight="1">
      <c r="A27" s="148"/>
      <c r="B27" s="149">
        <f t="shared" si="2"/>
        <v>24</v>
      </c>
      <c r="C27" s="150">
        <f t="shared" si="3"/>
        <v>45572</v>
      </c>
      <c r="D27" s="151"/>
      <c r="E27" s="152"/>
      <c r="F27" s="153"/>
      <c r="G27" s="154"/>
      <c r="H27" s="154"/>
      <c r="I27" s="95"/>
      <c r="J27" s="95"/>
      <c r="K27" s="155"/>
      <c r="L27" s="155"/>
      <c r="M27" s="154"/>
      <c r="N27" s="154"/>
      <c r="O27" s="154"/>
      <c r="P27" s="156"/>
      <c r="Q27" s="157" t="s">
        <v>48</v>
      </c>
      <c r="R27" s="158"/>
      <c r="S27" s="156"/>
      <c r="T27" s="156"/>
      <c r="U27" s="156"/>
      <c r="V27" s="159"/>
      <c r="W27" s="156"/>
      <c r="X27" s="156"/>
      <c r="Y27" s="156"/>
      <c r="Z27" s="156"/>
      <c r="AA27" s="156"/>
      <c r="AB27" s="156"/>
      <c r="AC27" s="156"/>
      <c r="AD27" s="156"/>
      <c r="AE27" s="156"/>
      <c r="AF27" s="156"/>
      <c r="AG27" s="160"/>
      <c r="AH27" s="160"/>
      <c r="AI27" s="160"/>
      <c r="AJ27" s="160"/>
      <c r="AK27" s="154"/>
      <c r="AL27" s="156"/>
      <c r="AM27" s="161">
        <f t="shared" ref="AM27:AN27" si="27">AM26+1</f>
        <v>24</v>
      </c>
      <c r="AN27" s="161">
        <f t="shared" si="27"/>
        <v>24</v>
      </c>
      <c r="AO27" s="162"/>
      <c r="AP27" s="163">
        <f t="shared" si="13"/>
        <v>15</v>
      </c>
      <c r="AQ27" s="161"/>
      <c r="AR27" s="161"/>
      <c r="AS27" s="163">
        <f t="shared" si="14"/>
        <v>15</v>
      </c>
      <c r="AT27" s="162"/>
      <c r="AU27" s="161"/>
      <c r="AV27" s="162"/>
      <c r="AW27" s="164"/>
      <c r="AX27" s="161"/>
      <c r="AY27" s="165"/>
      <c r="AZ27" s="161"/>
      <c r="BA27" s="161"/>
      <c r="BB27" s="161"/>
    </row>
    <row r="28" ht="15.75" customHeight="1">
      <c r="A28" s="166" t="s">
        <v>50</v>
      </c>
      <c r="B28" s="65">
        <f t="shared" si="2"/>
        <v>25</v>
      </c>
      <c r="C28" s="66">
        <f t="shared" si="3"/>
        <v>45579</v>
      </c>
      <c r="D28" s="70"/>
      <c r="E28" s="69"/>
      <c r="F28" s="69"/>
      <c r="G28" s="70"/>
      <c r="H28" s="70"/>
      <c r="I28" s="71"/>
      <c r="J28" s="71"/>
      <c r="K28" s="70"/>
      <c r="L28" s="70"/>
      <c r="M28" s="99"/>
      <c r="N28" s="99"/>
      <c r="O28" s="99"/>
      <c r="P28" s="70"/>
      <c r="Q28" s="131" t="s">
        <v>48</v>
      </c>
      <c r="R28" s="134"/>
      <c r="S28" s="70"/>
      <c r="T28" s="70"/>
      <c r="U28" s="70"/>
      <c r="V28" s="115"/>
      <c r="W28" s="70"/>
      <c r="X28" s="70"/>
      <c r="Y28" s="70"/>
      <c r="Z28" s="70"/>
      <c r="AA28" s="70"/>
      <c r="AB28" s="70"/>
      <c r="AC28" s="70"/>
      <c r="AD28" s="70"/>
      <c r="AE28" s="70"/>
      <c r="AF28" s="70"/>
      <c r="AG28" s="70"/>
      <c r="AH28" s="70"/>
      <c r="AI28" s="70"/>
      <c r="AJ28" s="70"/>
      <c r="AK28" s="70"/>
      <c r="AL28" s="70"/>
      <c r="AM28" s="73">
        <f t="shared" ref="AM28:AN28" si="28">AM27+1</f>
        <v>25</v>
      </c>
      <c r="AN28" s="100">
        <f t="shared" si="28"/>
        <v>25</v>
      </c>
      <c r="AO28" s="74"/>
      <c r="AP28" s="78">
        <f t="shared" si="13"/>
        <v>16</v>
      </c>
      <c r="AQ28" s="73"/>
      <c r="AR28" s="73"/>
      <c r="AS28" s="78">
        <f t="shared" si="14"/>
        <v>16</v>
      </c>
      <c r="AT28" s="74"/>
      <c r="AU28" s="73"/>
      <c r="AV28" s="74"/>
      <c r="AW28" s="78"/>
      <c r="AX28" s="73"/>
      <c r="AY28" s="79"/>
      <c r="AZ28" s="73"/>
      <c r="BA28" s="73"/>
      <c r="BB28" s="73"/>
    </row>
    <row r="29" ht="15.75" customHeight="1">
      <c r="A29" s="133">
        <f>C27</f>
        <v>45572</v>
      </c>
      <c r="B29" s="65">
        <f t="shared" si="2"/>
        <v>26</v>
      </c>
      <c r="C29" s="66">
        <f t="shared" si="3"/>
        <v>45586</v>
      </c>
      <c r="D29" s="70"/>
      <c r="E29" s="69"/>
      <c r="F29" s="69"/>
      <c r="G29" s="70"/>
      <c r="H29" s="70"/>
      <c r="I29" s="71"/>
      <c r="J29" s="71"/>
      <c r="K29" s="70"/>
      <c r="L29" s="70"/>
      <c r="M29" s="99"/>
      <c r="N29" s="99"/>
      <c r="O29" s="99"/>
      <c r="P29" s="70"/>
      <c r="Q29" s="131" t="s">
        <v>48</v>
      </c>
      <c r="R29" s="134"/>
      <c r="S29" s="70"/>
      <c r="T29" s="70"/>
      <c r="U29" s="70"/>
      <c r="V29" s="70"/>
      <c r="W29" s="70"/>
      <c r="X29" s="70"/>
      <c r="Y29" s="70"/>
      <c r="Z29" s="70"/>
      <c r="AA29" s="70"/>
      <c r="AB29" s="70"/>
      <c r="AC29" s="70"/>
      <c r="AD29" s="70"/>
      <c r="AE29" s="70"/>
      <c r="AF29" s="70"/>
      <c r="AG29" s="70"/>
      <c r="AH29" s="70"/>
      <c r="AI29" s="70"/>
      <c r="AJ29" s="70"/>
      <c r="AK29" s="70"/>
      <c r="AL29" s="70"/>
      <c r="AM29" s="73">
        <f t="shared" ref="AM29:AN29" si="29">AM28+1</f>
        <v>26</v>
      </c>
      <c r="AN29" s="73">
        <f t="shared" si="29"/>
        <v>26</v>
      </c>
      <c r="AO29" s="74"/>
      <c r="AP29" s="78">
        <f t="shared" si="13"/>
        <v>17</v>
      </c>
      <c r="AQ29" s="73"/>
      <c r="AR29" s="73"/>
      <c r="AS29" s="78">
        <f t="shared" si="14"/>
        <v>17</v>
      </c>
      <c r="AT29" s="74"/>
      <c r="AU29" s="73"/>
      <c r="AV29" s="74"/>
      <c r="AW29" s="78"/>
      <c r="AX29" s="73"/>
      <c r="AY29" s="79"/>
      <c r="AZ29" s="73"/>
      <c r="BA29" s="73"/>
      <c r="BB29" s="73"/>
    </row>
    <row r="30" ht="15.75" customHeight="1">
      <c r="A30" s="81"/>
      <c r="B30" s="82">
        <f t="shared" si="2"/>
        <v>27</v>
      </c>
      <c r="C30" s="83">
        <f t="shared" si="3"/>
        <v>45593</v>
      </c>
      <c r="D30" s="167"/>
      <c r="E30" s="168"/>
      <c r="F30" s="168"/>
      <c r="G30" s="169"/>
      <c r="H30" s="169"/>
      <c r="I30" s="170"/>
      <c r="J30" s="170"/>
      <c r="K30" s="86"/>
      <c r="L30" s="86"/>
      <c r="M30" s="88"/>
      <c r="N30" s="88"/>
      <c r="O30" s="88"/>
      <c r="P30" s="84"/>
      <c r="Q30" s="171" t="s">
        <v>48</v>
      </c>
      <c r="R30" s="172"/>
      <c r="S30" s="84"/>
      <c r="T30" s="84"/>
      <c r="U30" s="84"/>
      <c r="V30" s="84"/>
      <c r="W30" s="84"/>
      <c r="X30" s="84"/>
      <c r="Y30" s="84"/>
      <c r="Z30" s="84"/>
      <c r="AA30" s="84"/>
      <c r="AB30" s="84"/>
      <c r="AC30" s="84"/>
      <c r="AD30" s="84"/>
      <c r="AE30" s="84"/>
      <c r="AF30" s="84"/>
      <c r="AG30" s="169"/>
      <c r="AH30" s="169"/>
      <c r="AI30" s="169"/>
      <c r="AJ30" s="169"/>
      <c r="AK30" s="169"/>
      <c r="AL30" s="169"/>
      <c r="AM30" s="89">
        <f t="shared" ref="AM30:AN30" si="30">AM29+1</f>
        <v>27</v>
      </c>
      <c r="AN30" s="89">
        <f t="shared" si="30"/>
        <v>27</v>
      </c>
      <c r="AO30" s="90"/>
      <c r="AP30" s="173">
        <f t="shared" si="13"/>
        <v>18</v>
      </c>
      <c r="AQ30" s="89"/>
      <c r="AR30" s="89"/>
      <c r="AS30" s="173">
        <f t="shared" si="14"/>
        <v>18</v>
      </c>
      <c r="AT30" s="90"/>
      <c r="AU30" s="89"/>
      <c r="AV30" s="90"/>
      <c r="AW30" s="92"/>
      <c r="AX30" s="89"/>
      <c r="AY30" s="93"/>
      <c r="AZ30" s="89"/>
      <c r="BA30" s="89"/>
      <c r="BB30" s="89"/>
    </row>
    <row r="31" ht="15.75" customHeight="1">
      <c r="A31" s="46"/>
      <c r="B31" s="47">
        <f t="shared" si="2"/>
        <v>28</v>
      </c>
      <c r="C31" s="94">
        <f t="shared" si="3"/>
        <v>45600</v>
      </c>
      <c r="D31" s="56"/>
      <c r="E31" s="51"/>
      <c r="F31" s="51"/>
      <c r="G31" s="52"/>
      <c r="H31" s="52"/>
      <c r="I31" s="54"/>
      <c r="J31" s="54"/>
      <c r="K31" s="52"/>
      <c r="L31" s="52"/>
      <c r="M31" s="174" t="s">
        <v>51</v>
      </c>
      <c r="N31" s="96"/>
      <c r="O31" s="96"/>
      <c r="P31" s="52"/>
      <c r="Q31" s="127" t="s">
        <v>48</v>
      </c>
      <c r="R31" s="175"/>
      <c r="S31" s="52"/>
      <c r="T31" s="52"/>
      <c r="U31" s="52"/>
      <c r="V31" s="56"/>
      <c r="W31" s="56"/>
      <c r="X31" s="56"/>
      <c r="Y31" s="56"/>
      <c r="Z31" s="56"/>
      <c r="AA31" s="56"/>
      <c r="AB31" s="56"/>
      <c r="AC31" s="56"/>
      <c r="AD31" s="56"/>
      <c r="AE31" s="56"/>
      <c r="AF31" s="56"/>
      <c r="AG31" s="52"/>
      <c r="AH31" s="52"/>
      <c r="AI31" s="52"/>
      <c r="AJ31" s="52"/>
      <c r="AK31" s="52"/>
      <c r="AL31" s="52"/>
      <c r="AM31" s="57">
        <f t="shared" ref="AM31:AN31" si="31">AM30+1</f>
        <v>28</v>
      </c>
      <c r="AN31" s="57">
        <f t="shared" si="31"/>
        <v>28</v>
      </c>
      <c r="AO31" s="58"/>
      <c r="AP31" s="62">
        <f t="shared" si="13"/>
        <v>19</v>
      </c>
      <c r="AQ31" s="57"/>
      <c r="AR31" s="57"/>
      <c r="AS31" s="62">
        <f t="shared" si="14"/>
        <v>19</v>
      </c>
      <c r="AT31" s="58"/>
      <c r="AU31" s="176"/>
      <c r="AV31" s="58"/>
      <c r="AW31" s="176">
        <v>1.0</v>
      </c>
      <c r="AX31" s="107" t="s">
        <v>52</v>
      </c>
      <c r="AY31" s="97"/>
      <c r="AZ31" s="57"/>
      <c r="BA31" s="57"/>
      <c r="BB31" s="57"/>
    </row>
    <row r="32" ht="15.75" customHeight="1">
      <c r="A32" s="64" t="s">
        <v>53</v>
      </c>
      <c r="B32" s="65">
        <f t="shared" si="2"/>
        <v>29</v>
      </c>
      <c r="C32" s="66">
        <f t="shared" si="3"/>
        <v>45607</v>
      </c>
      <c r="D32" s="70"/>
      <c r="E32" s="69"/>
      <c r="F32" s="69"/>
      <c r="G32" s="70"/>
      <c r="H32" s="70"/>
      <c r="I32" s="71"/>
      <c r="J32" s="71"/>
      <c r="K32" s="70"/>
      <c r="L32" s="70"/>
      <c r="M32" s="177" t="s">
        <v>54</v>
      </c>
      <c r="N32" s="99"/>
      <c r="O32" s="99"/>
      <c r="P32" s="70"/>
      <c r="Q32" s="131" t="s">
        <v>48</v>
      </c>
      <c r="R32" s="134"/>
      <c r="S32" s="70"/>
      <c r="T32" s="70"/>
      <c r="U32" s="70"/>
      <c r="V32" s="115"/>
      <c r="W32" s="70"/>
      <c r="X32" s="70"/>
      <c r="Y32" s="70"/>
      <c r="Z32" s="70"/>
      <c r="AA32" s="70"/>
      <c r="AB32" s="70"/>
      <c r="AC32" s="70"/>
      <c r="AD32" s="70"/>
      <c r="AE32" s="70"/>
      <c r="AF32" s="70"/>
      <c r="AG32" s="70"/>
      <c r="AH32" s="70"/>
      <c r="AI32" s="70"/>
      <c r="AJ32" s="70"/>
      <c r="AK32" s="70"/>
      <c r="AL32" s="70"/>
      <c r="AM32" s="73">
        <f t="shared" ref="AM32:AN32" si="32">AM31+1</f>
        <v>29</v>
      </c>
      <c r="AN32" s="73">
        <f t="shared" si="32"/>
        <v>29</v>
      </c>
      <c r="AO32" s="74"/>
      <c r="AP32" s="78">
        <f t="shared" si="13"/>
        <v>20</v>
      </c>
      <c r="AQ32" s="73"/>
      <c r="AR32" s="73"/>
      <c r="AS32" s="78">
        <f t="shared" si="14"/>
        <v>20</v>
      </c>
      <c r="AT32" s="74"/>
      <c r="AU32" s="78"/>
      <c r="AV32" s="74"/>
      <c r="AW32" s="78">
        <f>AW31+1</f>
        <v>2</v>
      </c>
      <c r="AX32" s="73"/>
      <c r="AY32" s="79"/>
      <c r="AZ32" s="73"/>
      <c r="BA32" s="73"/>
      <c r="BB32" s="73"/>
    </row>
    <row r="33" ht="15.75" customHeight="1">
      <c r="A33" s="133">
        <f>C31</f>
        <v>45600</v>
      </c>
      <c r="B33" s="65">
        <f t="shared" si="2"/>
        <v>30</v>
      </c>
      <c r="C33" s="66">
        <f t="shared" si="3"/>
        <v>45614</v>
      </c>
      <c r="D33" s="70"/>
      <c r="E33" s="98"/>
      <c r="F33" s="69"/>
      <c r="G33" s="70"/>
      <c r="H33" s="70"/>
      <c r="I33" s="71"/>
      <c r="J33" s="71"/>
      <c r="K33" s="70"/>
      <c r="L33" s="70"/>
      <c r="M33" s="99"/>
      <c r="N33" s="99"/>
      <c r="O33" s="99"/>
      <c r="P33" s="70"/>
      <c r="Q33" s="131" t="s">
        <v>48</v>
      </c>
      <c r="R33" s="134"/>
      <c r="S33" s="70"/>
      <c r="T33" s="70"/>
      <c r="U33" s="70"/>
      <c r="V33" s="70"/>
      <c r="W33" s="70"/>
      <c r="X33" s="70"/>
      <c r="Y33" s="70"/>
      <c r="Z33" s="70"/>
      <c r="AA33" s="70"/>
      <c r="AB33" s="70"/>
      <c r="AC33" s="70"/>
      <c r="AD33" s="70"/>
      <c r="AE33" s="70"/>
      <c r="AF33" s="70"/>
      <c r="AG33" s="70"/>
      <c r="AH33" s="70"/>
      <c r="AI33" s="70"/>
      <c r="AJ33" s="70"/>
      <c r="AK33" s="70"/>
      <c r="AL33" s="70"/>
      <c r="AM33" s="73">
        <f t="shared" ref="AM33:AN33" si="33">AM32+1</f>
        <v>30</v>
      </c>
      <c r="AN33" s="73">
        <f t="shared" si="33"/>
        <v>30</v>
      </c>
      <c r="AO33" s="74"/>
      <c r="AP33" s="78">
        <f t="shared" si="13"/>
        <v>21</v>
      </c>
      <c r="AQ33" s="73"/>
      <c r="AR33" s="178"/>
      <c r="AS33" s="78">
        <f t="shared" si="14"/>
        <v>21</v>
      </c>
      <c r="AT33" s="119"/>
      <c r="AU33" s="78"/>
      <c r="AV33" s="119"/>
      <c r="AW33" s="78"/>
      <c r="AX33" s="73"/>
      <c r="AY33" s="79"/>
      <c r="AZ33" s="179"/>
      <c r="BA33" s="73"/>
      <c r="BB33" s="73"/>
    </row>
    <row r="34" ht="15.75" customHeight="1">
      <c r="A34" s="64"/>
      <c r="B34" s="82">
        <f t="shared" si="2"/>
        <v>31</v>
      </c>
      <c r="C34" s="83">
        <f t="shared" si="3"/>
        <v>45621</v>
      </c>
      <c r="D34" s="86"/>
      <c r="E34" s="180"/>
      <c r="F34" s="85"/>
      <c r="G34" s="86"/>
      <c r="H34" s="86"/>
      <c r="I34" s="87"/>
      <c r="J34" s="87"/>
      <c r="K34" s="86"/>
      <c r="L34" s="86"/>
      <c r="M34" s="88"/>
      <c r="N34" s="88"/>
      <c r="O34" s="88"/>
      <c r="P34" s="84"/>
      <c r="Q34" s="142" t="s">
        <v>48</v>
      </c>
      <c r="R34" s="172"/>
      <c r="S34" s="84"/>
      <c r="T34" s="84"/>
      <c r="U34" s="84"/>
      <c r="V34" s="84"/>
      <c r="W34" s="84"/>
      <c r="X34" s="84"/>
      <c r="Y34" s="84"/>
      <c r="Z34" s="84"/>
      <c r="AA34" s="84"/>
      <c r="AB34" s="84"/>
      <c r="AC34" s="84"/>
      <c r="AD34" s="84"/>
      <c r="AE34" s="84"/>
      <c r="AF34" s="84"/>
      <c r="AG34" s="86"/>
      <c r="AH34" s="86"/>
      <c r="AI34" s="86"/>
      <c r="AJ34" s="86"/>
      <c r="AK34" s="86"/>
      <c r="AL34" s="86"/>
      <c r="AM34" s="89">
        <f t="shared" ref="AM34:AN34" si="34">AM33+1</f>
        <v>31</v>
      </c>
      <c r="AN34" s="89">
        <f t="shared" si="34"/>
        <v>31</v>
      </c>
      <c r="AO34" s="90"/>
      <c r="AP34" s="92">
        <f t="shared" si="13"/>
        <v>22</v>
      </c>
      <c r="AQ34" s="89"/>
      <c r="AR34" s="181"/>
      <c r="AS34" s="92">
        <f t="shared" si="14"/>
        <v>22</v>
      </c>
      <c r="AT34" s="182"/>
      <c r="AU34" s="92"/>
      <c r="AV34" s="182"/>
      <c r="AW34" s="92"/>
      <c r="AX34" s="89"/>
      <c r="AY34" s="93"/>
      <c r="AZ34" s="181"/>
      <c r="BA34" s="89"/>
      <c r="BB34" s="89"/>
    </row>
    <row r="35" ht="15.75" customHeight="1">
      <c r="A35" s="105"/>
      <c r="B35" s="47">
        <f t="shared" si="2"/>
        <v>32</v>
      </c>
      <c r="C35" s="94">
        <f t="shared" si="3"/>
        <v>45628</v>
      </c>
      <c r="D35" s="56"/>
      <c r="E35" s="51"/>
      <c r="F35" s="51"/>
      <c r="G35" s="52"/>
      <c r="H35" s="52"/>
      <c r="I35" s="54"/>
      <c r="J35" s="54"/>
      <c r="K35" s="56"/>
      <c r="L35" s="56"/>
      <c r="M35" s="96"/>
      <c r="N35" s="96"/>
      <c r="O35" s="183"/>
      <c r="P35" s="52"/>
      <c r="Q35" s="127" t="s">
        <v>48</v>
      </c>
      <c r="R35" s="175"/>
      <c r="S35" s="52"/>
      <c r="T35" s="52"/>
      <c r="U35" s="52"/>
      <c r="V35" s="52"/>
      <c r="W35" s="52"/>
      <c r="X35" s="52"/>
      <c r="Y35" s="52"/>
      <c r="Z35" s="52"/>
      <c r="AA35" s="52"/>
      <c r="AB35" s="56"/>
      <c r="AC35" s="56"/>
      <c r="AD35" s="56"/>
      <c r="AE35" s="56"/>
      <c r="AF35" s="56"/>
      <c r="AG35" s="52"/>
      <c r="AH35" s="52"/>
      <c r="AI35" s="52"/>
      <c r="AJ35" s="52"/>
      <c r="AK35" s="52"/>
      <c r="AL35" s="52"/>
      <c r="AM35" s="57">
        <f t="shared" ref="AM35:AN35" si="35">AM34+1</f>
        <v>32</v>
      </c>
      <c r="AN35" s="57">
        <f t="shared" si="35"/>
        <v>32</v>
      </c>
      <c r="AO35" s="58"/>
      <c r="AP35" s="62">
        <f t="shared" si="13"/>
        <v>23</v>
      </c>
      <c r="AQ35" s="57"/>
      <c r="AR35" s="57"/>
      <c r="AS35" s="62">
        <f t="shared" si="14"/>
        <v>23</v>
      </c>
      <c r="AT35" s="58"/>
      <c r="AU35" s="62"/>
      <c r="AV35" s="58"/>
      <c r="AW35" s="62"/>
      <c r="AX35" s="57"/>
      <c r="AY35" s="97"/>
      <c r="AZ35" s="57"/>
      <c r="BA35" s="57"/>
      <c r="BB35" s="57"/>
    </row>
    <row r="36" ht="15.75" customHeight="1">
      <c r="A36" s="64" t="s">
        <v>55</v>
      </c>
      <c r="B36" s="65">
        <f t="shared" si="2"/>
        <v>33</v>
      </c>
      <c r="C36" s="66">
        <f t="shared" si="3"/>
        <v>45635</v>
      </c>
      <c r="D36" s="72"/>
      <c r="E36" s="69"/>
      <c r="F36" s="69"/>
      <c r="G36" s="70"/>
      <c r="H36" s="70"/>
      <c r="I36" s="71"/>
      <c r="J36" s="71"/>
      <c r="K36" s="72"/>
      <c r="L36" s="72"/>
      <c r="M36" s="99"/>
      <c r="N36" s="99"/>
      <c r="O36" s="184"/>
      <c r="P36" s="70"/>
      <c r="Q36" s="131" t="s">
        <v>48</v>
      </c>
      <c r="R36" s="134"/>
      <c r="S36" s="70"/>
      <c r="T36" s="70"/>
      <c r="U36" s="185" t="s">
        <v>56</v>
      </c>
      <c r="V36" s="186"/>
      <c r="W36" s="70"/>
      <c r="X36" s="70"/>
      <c r="Y36" s="70"/>
      <c r="Z36" s="70"/>
      <c r="AA36" s="70"/>
      <c r="AB36" s="72"/>
      <c r="AC36" s="72"/>
      <c r="AD36" s="72"/>
      <c r="AE36" s="72"/>
      <c r="AF36" s="72"/>
      <c r="AG36" s="70"/>
      <c r="AH36" s="70"/>
      <c r="AI36" s="70"/>
      <c r="AJ36" s="70"/>
      <c r="AK36" s="70"/>
      <c r="AL36" s="70"/>
      <c r="AM36" s="73">
        <f t="shared" ref="AM36:AN36" si="36">AM35+1</f>
        <v>33</v>
      </c>
      <c r="AN36" s="73">
        <f t="shared" si="36"/>
        <v>33</v>
      </c>
      <c r="AO36" s="74"/>
      <c r="AP36" s="78">
        <f t="shared" si="13"/>
        <v>24</v>
      </c>
      <c r="AQ36" s="73"/>
      <c r="AR36" s="73"/>
      <c r="AS36" s="78">
        <f t="shared" si="14"/>
        <v>24</v>
      </c>
      <c r="AT36" s="74"/>
      <c r="AU36" s="78"/>
      <c r="AV36" s="74"/>
      <c r="AW36" s="78"/>
      <c r="AX36" s="73"/>
      <c r="AY36" s="79"/>
      <c r="AZ36" s="187">
        <v>0.4</v>
      </c>
      <c r="BA36" s="73">
        <f t="shared" ref="BA36:BA51" si="38">BA35+1</f>
        <v>1</v>
      </c>
      <c r="BB36" s="73"/>
    </row>
    <row r="37" ht="15.75" customHeight="1">
      <c r="A37" s="133">
        <f>C35</f>
        <v>45628</v>
      </c>
      <c r="B37" s="65">
        <f t="shared" si="2"/>
        <v>34</v>
      </c>
      <c r="C37" s="66">
        <f t="shared" si="3"/>
        <v>45642</v>
      </c>
      <c r="D37" s="70"/>
      <c r="E37" s="69"/>
      <c r="F37" s="69"/>
      <c r="G37" s="70"/>
      <c r="H37" s="70"/>
      <c r="I37" s="71"/>
      <c r="J37" s="71"/>
      <c r="K37" s="70"/>
      <c r="L37" s="70"/>
      <c r="M37" s="99"/>
      <c r="N37" s="99"/>
      <c r="O37" s="70"/>
      <c r="P37" s="70"/>
      <c r="Q37" s="131" t="s">
        <v>48</v>
      </c>
      <c r="R37" s="134"/>
      <c r="S37" s="70"/>
      <c r="T37" s="70"/>
      <c r="U37" s="188" t="s">
        <v>57</v>
      </c>
      <c r="V37" s="186"/>
      <c r="W37" s="70"/>
      <c r="X37" s="70"/>
      <c r="Y37" s="70"/>
      <c r="Z37" s="70"/>
      <c r="AA37" s="70"/>
      <c r="AB37" s="70"/>
      <c r="AC37" s="70"/>
      <c r="AD37" s="70"/>
      <c r="AE37" s="70"/>
      <c r="AF37" s="70"/>
      <c r="AG37" s="70"/>
      <c r="AH37" s="70"/>
      <c r="AI37" s="70"/>
      <c r="AJ37" s="70"/>
      <c r="AK37" s="70"/>
      <c r="AL37" s="70"/>
      <c r="AM37" s="73">
        <f t="shared" ref="AM37:AN37" si="37">AM36+1</f>
        <v>34</v>
      </c>
      <c r="AN37" s="73">
        <f t="shared" si="37"/>
        <v>34</v>
      </c>
      <c r="AO37" s="74"/>
      <c r="AP37" s="78">
        <f t="shared" si="13"/>
        <v>25</v>
      </c>
      <c r="AQ37" s="73"/>
      <c r="AR37" s="73"/>
      <c r="AS37" s="78">
        <f t="shared" si="14"/>
        <v>25</v>
      </c>
      <c r="AT37" s="74"/>
      <c r="AU37" s="78"/>
      <c r="AV37" s="74"/>
      <c r="AW37" s="78"/>
      <c r="AX37" s="73"/>
      <c r="AY37" s="79"/>
      <c r="AZ37" s="73"/>
      <c r="BA37" s="73">
        <f t="shared" si="38"/>
        <v>2</v>
      </c>
      <c r="BB37" s="73"/>
    </row>
    <row r="38" ht="15.75" customHeight="1">
      <c r="A38" s="64"/>
      <c r="B38" s="65">
        <f t="shared" si="2"/>
        <v>35</v>
      </c>
      <c r="C38" s="66">
        <f t="shared" si="3"/>
        <v>45649</v>
      </c>
      <c r="D38" s="70"/>
      <c r="E38" s="69"/>
      <c r="F38" s="69"/>
      <c r="G38" s="70"/>
      <c r="H38" s="70"/>
      <c r="I38" s="71"/>
      <c r="J38" s="71"/>
      <c r="K38" s="70"/>
      <c r="L38" s="70"/>
      <c r="M38" s="99"/>
      <c r="N38" s="99"/>
      <c r="O38" s="70"/>
      <c r="P38" s="70"/>
      <c r="Q38" s="131" t="s">
        <v>48</v>
      </c>
      <c r="R38" s="134"/>
      <c r="S38" s="70"/>
      <c r="T38" s="70"/>
      <c r="U38" s="189" t="s">
        <v>58</v>
      </c>
      <c r="V38" s="186"/>
      <c r="W38" s="70"/>
      <c r="X38" s="70"/>
      <c r="Y38" s="70"/>
      <c r="Z38" s="70"/>
      <c r="AA38" s="70"/>
      <c r="AB38" s="72"/>
      <c r="AC38" s="72"/>
      <c r="AD38" s="72"/>
      <c r="AE38" s="70"/>
      <c r="AF38" s="70"/>
      <c r="AG38" s="70"/>
      <c r="AH38" s="70"/>
      <c r="AI38" s="70"/>
      <c r="AJ38" s="70"/>
      <c r="AK38" s="70"/>
      <c r="AL38" s="70"/>
      <c r="AM38" s="73">
        <f t="shared" ref="AM38:AN38" si="39">AM37+1</f>
        <v>35</v>
      </c>
      <c r="AN38" s="73">
        <f t="shared" si="39"/>
        <v>35</v>
      </c>
      <c r="AO38" s="74"/>
      <c r="AP38" s="78">
        <f t="shared" si="13"/>
        <v>26</v>
      </c>
      <c r="AQ38" s="73"/>
      <c r="AR38" s="73"/>
      <c r="AS38" s="78">
        <f t="shared" si="14"/>
        <v>26</v>
      </c>
      <c r="AT38" s="74"/>
      <c r="AU38" s="78"/>
      <c r="AV38" s="74"/>
      <c r="AW38" s="78"/>
      <c r="AX38" s="73"/>
      <c r="AY38" s="79"/>
      <c r="AZ38" s="73"/>
      <c r="BA38" s="73">
        <f t="shared" si="38"/>
        <v>3</v>
      </c>
      <c r="BB38" s="73"/>
    </row>
    <row r="39" ht="15.75" customHeight="1">
      <c r="A39" s="81"/>
      <c r="B39" s="82">
        <f t="shared" si="2"/>
        <v>36</v>
      </c>
      <c r="C39" s="83">
        <f t="shared" si="3"/>
        <v>45656</v>
      </c>
      <c r="D39" s="84"/>
      <c r="E39" s="85"/>
      <c r="F39" s="85"/>
      <c r="G39" s="86"/>
      <c r="H39" s="86"/>
      <c r="I39" s="87"/>
      <c r="J39" s="87"/>
      <c r="K39" s="84"/>
      <c r="L39" s="84"/>
      <c r="M39" s="190" t="s">
        <v>59</v>
      </c>
      <c r="N39" s="88"/>
      <c r="O39" s="84"/>
      <c r="P39" s="86"/>
      <c r="Q39" s="142" t="s">
        <v>48</v>
      </c>
      <c r="R39" s="143"/>
      <c r="S39" s="86"/>
      <c r="T39" s="86"/>
      <c r="U39" s="191"/>
      <c r="V39" s="192"/>
      <c r="W39" s="84"/>
      <c r="X39" s="84"/>
      <c r="Y39" s="84"/>
      <c r="Z39" s="84"/>
      <c r="AA39" s="84"/>
      <c r="AB39" s="84"/>
      <c r="AC39" s="84"/>
      <c r="AD39" s="84"/>
      <c r="AE39" s="84"/>
      <c r="AF39" s="84"/>
      <c r="AG39" s="86"/>
      <c r="AH39" s="86"/>
      <c r="AI39" s="86"/>
      <c r="AJ39" s="86"/>
      <c r="AK39" s="86"/>
      <c r="AL39" s="86"/>
      <c r="AM39" s="89">
        <f t="shared" ref="AM39:AN39" si="40">AM38+1</f>
        <v>36</v>
      </c>
      <c r="AN39" s="89">
        <f t="shared" si="40"/>
        <v>36</v>
      </c>
      <c r="AO39" s="90"/>
      <c r="AP39" s="92">
        <f t="shared" si="13"/>
        <v>27</v>
      </c>
      <c r="AQ39" s="89"/>
      <c r="AR39" s="92"/>
      <c r="AS39" s="92">
        <f t="shared" si="14"/>
        <v>27</v>
      </c>
      <c r="AT39" s="90"/>
      <c r="AU39" s="92"/>
      <c r="AV39" s="90"/>
      <c r="AW39" s="92">
        <f>AW32+1</f>
        <v>3</v>
      </c>
      <c r="AX39" s="89"/>
      <c r="AY39" s="93"/>
      <c r="AZ39" s="89"/>
      <c r="BA39" s="89">
        <f t="shared" si="38"/>
        <v>4</v>
      </c>
      <c r="BB39" s="89"/>
    </row>
    <row r="40" ht="15.75" customHeight="1">
      <c r="A40" s="46"/>
      <c r="B40" s="193">
        <f t="shared" si="2"/>
        <v>37</v>
      </c>
      <c r="C40" s="194">
        <f t="shared" si="3"/>
        <v>45663</v>
      </c>
      <c r="D40" s="195"/>
      <c r="E40" s="196"/>
      <c r="F40" s="196"/>
      <c r="G40" s="156"/>
      <c r="H40" s="156"/>
      <c r="I40" s="95"/>
      <c r="J40" s="95"/>
      <c r="K40" s="195"/>
      <c r="L40" s="195"/>
      <c r="M40" s="197"/>
      <c r="N40" s="154"/>
      <c r="O40" s="195"/>
      <c r="P40" s="198"/>
      <c r="Q40" s="157" t="s">
        <v>48</v>
      </c>
      <c r="R40" s="199" t="s">
        <v>60</v>
      </c>
      <c r="S40" s="158"/>
      <c r="T40" s="156"/>
      <c r="U40" s="200"/>
      <c r="V40" s="201"/>
      <c r="W40" s="195"/>
      <c r="X40" s="195"/>
      <c r="Y40" s="195"/>
      <c r="Z40" s="195"/>
      <c r="AA40" s="195"/>
      <c r="AB40" s="195"/>
      <c r="AC40" s="195"/>
      <c r="AD40" s="195"/>
      <c r="AE40" s="195"/>
      <c r="AF40" s="195"/>
      <c r="AG40" s="156"/>
      <c r="AH40" s="156"/>
      <c r="AI40" s="156"/>
      <c r="AJ40" s="156"/>
      <c r="AK40" s="156"/>
      <c r="AL40" s="156"/>
      <c r="AM40" s="202">
        <f t="shared" ref="AM40:AN40" si="41">AM39+1</f>
        <v>37</v>
      </c>
      <c r="AN40" s="202">
        <f t="shared" si="41"/>
        <v>37</v>
      </c>
      <c r="AO40" s="162"/>
      <c r="AP40" s="163">
        <f t="shared" si="13"/>
        <v>28</v>
      </c>
      <c r="AQ40" s="202"/>
      <c r="AR40" s="163"/>
      <c r="AS40" s="163">
        <f t="shared" si="14"/>
        <v>28</v>
      </c>
      <c r="AT40" s="162"/>
      <c r="AU40" s="163"/>
      <c r="AV40" s="162"/>
      <c r="AW40" s="163">
        <f>AW39+1</f>
        <v>4</v>
      </c>
      <c r="AX40" s="202"/>
      <c r="AY40" s="165"/>
      <c r="AZ40" s="202"/>
      <c r="BA40" s="202">
        <f t="shared" si="38"/>
        <v>5</v>
      </c>
      <c r="BB40" s="202"/>
    </row>
    <row r="41" ht="15.75" customHeight="1">
      <c r="A41" s="64" t="s">
        <v>61</v>
      </c>
      <c r="B41" s="65">
        <f t="shared" si="2"/>
        <v>38</v>
      </c>
      <c r="C41" s="66">
        <f t="shared" si="3"/>
        <v>45670</v>
      </c>
      <c r="D41" s="70"/>
      <c r="E41" s="69"/>
      <c r="F41" s="69"/>
      <c r="G41" s="70"/>
      <c r="H41" s="70"/>
      <c r="I41" s="71"/>
      <c r="J41" s="71"/>
      <c r="K41" s="70"/>
      <c r="L41" s="70"/>
      <c r="M41" s="99"/>
      <c r="N41" s="99"/>
      <c r="O41" s="70"/>
      <c r="P41" s="203" t="s">
        <v>62</v>
      </c>
      <c r="Q41" s="131" t="s">
        <v>48</v>
      </c>
      <c r="R41" s="204" t="s">
        <v>63</v>
      </c>
      <c r="S41" s="134"/>
      <c r="T41" s="70"/>
      <c r="U41" s="205"/>
      <c r="V41" s="206"/>
      <c r="W41" s="70"/>
      <c r="X41" s="70"/>
      <c r="Y41" s="70"/>
      <c r="Z41" s="70"/>
      <c r="AA41" s="70"/>
      <c r="AB41" s="70"/>
      <c r="AC41" s="70"/>
      <c r="AD41" s="70"/>
      <c r="AE41" s="70"/>
      <c r="AF41" s="70"/>
      <c r="AG41" s="70"/>
      <c r="AH41" s="70"/>
      <c r="AI41" s="207" t="s">
        <v>64</v>
      </c>
      <c r="AJ41" s="208"/>
      <c r="AK41" s="70"/>
      <c r="AL41" s="70"/>
      <c r="AM41" s="73">
        <f t="shared" ref="AM41:AN41" si="42">AM40+1</f>
        <v>38</v>
      </c>
      <c r="AN41" s="73">
        <f t="shared" si="42"/>
        <v>38</v>
      </c>
      <c r="AO41" s="74"/>
      <c r="AP41" s="78">
        <f t="shared" si="13"/>
        <v>29</v>
      </c>
      <c r="AQ41" s="73"/>
      <c r="AR41" s="78"/>
      <c r="AS41" s="78">
        <f t="shared" si="14"/>
        <v>29</v>
      </c>
      <c r="AT41" s="74"/>
      <c r="AU41" s="78"/>
      <c r="AV41" s="74"/>
      <c r="AW41" s="78"/>
      <c r="AX41" s="73"/>
      <c r="AY41" s="79"/>
      <c r="AZ41" s="73"/>
      <c r="BA41" s="73">
        <f t="shared" si="38"/>
        <v>6</v>
      </c>
      <c r="BB41" s="73"/>
    </row>
    <row r="42" ht="17.25" customHeight="1">
      <c r="A42" s="133">
        <f>C40</f>
        <v>45663</v>
      </c>
      <c r="B42" s="65">
        <f t="shared" si="2"/>
        <v>39</v>
      </c>
      <c r="C42" s="66">
        <f t="shared" si="3"/>
        <v>45677</v>
      </c>
      <c r="D42" s="70"/>
      <c r="E42" s="98"/>
      <c r="F42" s="69"/>
      <c r="G42" s="70"/>
      <c r="H42" s="70"/>
      <c r="I42" s="71"/>
      <c r="J42" s="71"/>
      <c r="K42" s="70"/>
      <c r="L42" s="70"/>
      <c r="M42" s="99"/>
      <c r="N42" s="99"/>
      <c r="O42" s="70"/>
      <c r="P42" s="184"/>
      <c r="Q42" s="131" t="s">
        <v>48</v>
      </c>
      <c r="R42" s="204" t="s">
        <v>65</v>
      </c>
      <c r="S42" s="184"/>
      <c r="T42" s="184"/>
      <c r="U42" s="205"/>
      <c r="V42" s="206"/>
      <c r="W42" s="70"/>
      <c r="X42" s="70"/>
      <c r="Y42" s="70"/>
      <c r="Z42" s="70"/>
      <c r="AA42" s="70"/>
      <c r="AB42" s="70"/>
      <c r="AC42" s="70"/>
      <c r="AD42" s="70"/>
      <c r="AE42" s="70"/>
      <c r="AF42" s="70"/>
      <c r="AG42" s="70"/>
      <c r="AH42" s="70"/>
      <c r="AI42" s="70"/>
      <c r="AJ42" s="70"/>
      <c r="AK42" s="70"/>
      <c r="AL42" s="70"/>
      <c r="AM42" s="73">
        <f t="shared" ref="AM42:AN42" si="43">AM41+1</f>
        <v>39</v>
      </c>
      <c r="AN42" s="73">
        <f t="shared" si="43"/>
        <v>39</v>
      </c>
      <c r="AO42" s="74"/>
      <c r="AP42" s="78">
        <f t="shared" si="13"/>
        <v>30</v>
      </c>
      <c r="AQ42" s="73"/>
      <c r="AR42" s="78"/>
      <c r="AS42" s="78">
        <f t="shared" si="14"/>
        <v>30</v>
      </c>
      <c r="AT42" s="74"/>
      <c r="AU42" s="78"/>
      <c r="AV42" s="74"/>
      <c r="AW42" s="78"/>
      <c r="AX42" s="73"/>
      <c r="AY42" s="79"/>
      <c r="AZ42" s="73"/>
      <c r="BA42" s="73">
        <f t="shared" si="38"/>
        <v>7</v>
      </c>
      <c r="BB42" s="73"/>
    </row>
    <row r="43" ht="18.0" customHeight="1">
      <c r="A43" s="81"/>
      <c r="B43" s="82">
        <f t="shared" si="2"/>
        <v>40</v>
      </c>
      <c r="C43" s="83">
        <f t="shared" si="3"/>
        <v>45684</v>
      </c>
      <c r="D43" s="84"/>
      <c r="E43" s="85"/>
      <c r="F43" s="85"/>
      <c r="G43" s="86"/>
      <c r="H43" s="86"/>
      <c r="I43" s="87"/>
      <c r="J43" s="87"/>
      <c r="K43" s="84"/>
      <c r="L43" s="84"/>
      <c r="M43" s="88"/>
      <c r="N43" s="88"/>
      <c r="O43" s="84"/>
      <c r="P43" s="86"/>
      <c r="Q43" s="142" t="s">
        <v>48</v>
      </c>
      <c r="R43" s="209"/>
      <c r="S43" s="86"/>
      <c r="T43" s="86"/>
      <c r="U43" s="210"/>
      <c r="V43" s="192"/>
      <c r="W43" s="84"/>
      <c r="X43" s="84"/>
      <c r="Y43" s="84"/>
      <c r="Z43" s="84"/>
      <c r="AA43" s="84"/>
      <c r="AB43" s="84"/>
      <c r="AC43" s="84"/>
      <c r="AD43" s="84"/>
      <c r="AE43" s="84"/>
      <c r="AF43" s="84"/>
      <c r="AG43" s="86"/>
      <c r="AH43" s="86"/>
      <c r="AI43" s="86"/>
      <c r="AJ43" s="86"/>
      <c r="AK43" s="86"/>
      <c r="AL43" s="86"/>
      <c r="AM43" s="89">
        <f t="shared" ref="AM43:AN43" si="44">AM42+1</f>
        <v>40</v>
      </c>
      <c r="AN43" s="89">
        <f t="shared" si="44"/>
        <v>40</v>
      </c>
      <c r="AO43" s="90"/>
      <c r="AP43" s="92">
        <f t="shared" si="13"/>
        <v>31</v>
      </c>
      <c r="AQ43" s="89"/>
      <c r="AR43" s="92"/>
      <c r="AS43" s="92">
        <f t="shared" si="14"/>
        <v>31</v>
      </c>
      <c r="AT43" s="90"/>
      <c r="AU43" s="92"/>
      <c r="AV43" s="90"/>
      <c r="AW43" s="92"/>
      <c r="AX43" s="89"/>
      <c r="AY43" s="93"/>
      <c r="AZ43" s="89"/>
      <c r="BA43" s="89">
        <f t="shared" si="38"/>
        <v>8</v>
      </c>
      <c r="BB43" s="89"/>
    </row>
    <row r="44" ht="17.25" customHeight="1">
      <c r="A44" s="46"/>
      <c r="B44" s="47">
        <f t="shared" si="2"/>
        <v>41</v>
      </c>
      <c r="C44" s="94">
        <f t="shared" si="3"/>
        <v>45691</v>
      </c>
      <c r="D44" s="56"/>
      <c r="E44" s="51"/>
      <c r="F44" s="51"/>
      <c r="G44" s="52"/>
      <c r="H44" s="52"/>
      <c r="I44" s="54"/>
      <c r="J44" s="54"/>
      <c r="K44" s="56"/>
      <c r="L44" s="56"/>
      <c r="M44" s="96"/>
      <c r="N44" s="96"/>
      <c r="O44" s="52"/>
      <c r="P44" s="52"/>
      <c r="Q44" s="127" t="s">
        <v>48</v>
      </c>
      <c r="R44" s="175"/>
      <c r="S44" s="52"/>
      <c r="T44" s="52"/>
      <c r="U44" s="211"/>
      <c r="V44" s="212"/>
      <c r="W44" s="56"/>
      <c r="X44" s="56"/>
      <c r="Y44" s="56"/>
      <c r="Z44" s="56"/>
      <c r="AA44" s="56"/>
      <c r="AB44" s="56"/>
      <c r="AC44" s="56"/>
      <c r="AD44" s="56"/>
      <c r="AE44" s="56"/>
      <c r="AF44" s="56"/>
      <c r="AG44" s="52"/>
      <c r="AH44" s="52"/>
      <c r="AI44" s="52"/>
      <c r="AJ44" s="52"/>
      <c r="AK44" s="52"/>
      <c r="AL44" s="52"/>
      <c r="AM44" s="57">
        <f t="shared" ref="AM44:AN44" si="45">AM43+1</f>
        <v>41</v>
      </c>
      <c r="AN44" s="57">
        <f t="shared" si="45"/>
        <v>41</v>
      </c>
      <c r="AO44" s="58"/>
      <c r="AP44" s="62">
        <f t="shared" si="13"/>
        <v>32</v>
      </c>
      <c r="AQ44" s="57"/>
      <c r="AR44" s="62"/>
      <c r="AS44" s="62">
        <f t="shared" si="14"/>
        <v>32</v>
      </c>
      <c r="AT44" s="58"/>
      <c r="AU44" s="57"/>
      <c r="AV44" s="58"/>
      <c r="AW44" s="62"/>
      <c r="AX44" s="57"/>
      <c r="AY44" s="97"/>
      <c r="AZ44" s="57"/>
      <c r="BA44" s="57">
        <f t="shared" si="38"/>
        <v>9</v>
      </c>
      <c r="BB44" s="57"/>
    </row>
    <row r="45" ht="17.25" customHeight="1">
      <c r="A45" s="64" t="s">
        <v>66</v>
      </c>
      <c r="B45" s="65">
        <f t="shared" si="2"/>
        <v>42</v>
      </c>
      <c r="C45" s="66">
        <f t="shared" si="3"/>
        <v>45698</v>
      </c>
      <c r="D45" s="70"/>
      <c r="E45" s="69"/>
      <c r="F45" s="69"/>
      <c r="G45" s="70"/>
      <c r="H45" s="70"/>
      <c r="I45" s="71"/>
      <c r="J45" s="71"/>
      <c r="K45" s="70"/>
      <c r="L45" s="70"/>
      <c r="M45" s="99"/>
      <c r="N45" s="99"/>
      <c r="O45" s="70"/>
      <c r="P45" s="213"/>
      <c r="Q45" s="131" t="s">
        <v>48</v>
      </c>
      <c r="R45" s="214" t="s">
        <v>67</v>
      </c>
      <c r="S45" s="134"/>
      <c r="T45" s="70"/>
      <c r="U45" s="185"/>
      <c r="V45" s="186"/>
      <c r="W45" s="70"/>
      <c r="X45" s="70"/>
      <c r="Y45" s="70"/>
      <c r="Z45" s="70"/>
      <c r="AA45" s="70"/>
      <c r="AB45" s="70"/>
      <c r="AC45" s="70"/>
      <c r="AD45" s="70"/>
      <c r="AE45" s="70"/>
      <c r="AF45" s="70"/>
      <c r="AG45" s="70"/>
      <c r="AH45" s="70"/>
      <c r="AI45" s="70"/>
      <c r="AJ45" s="70"/>
      <c r="AK45" s="70"/>
      <c r="AL45" s="70"/>
      <c r="AM45" s="73">
        <f t="shared" ref="AM45:AN45" si="46">AM44+1</f>
        <v>42</v>
      </c>
      <c r="AN45" s="73">
        <f t="shared" si="46"/>
        <v>42</v>
      </c>
      <c r="AO45" s="74"/>
      <c r="AP45" s="78">
        <f t="shared" si="13"/>
        <v>33</v>
      </c>
      <c r="AQ45" s="73"/>
      <c r="AR45" s="78"/>
      <c r="AS45" s="78">
        <f t="shared" si="14"/>
        <v>33</v>
      </c>
      <c r="AT45" s="74"/>
      <c r="AU45" s="73"/>
      <c r="AV45" s="74"/>
      <c r="AW45" s="78"/>
      <c r="AX45" s="73"/>
      <c r="AY45" s="79"/>
      <c r="AZ45" s="73"/>
      <c r="BA45" s="73">
        <f t="shared" si="38"/>
        <v>10</v>
      </c>
      <c r="BB45" s="73"/>
    </row>
    <row r="46" ht="15.0" customHeight="1">
      <c r="A46" s="133">
        <f>C44</f>
        <v>45691</v>
      </c>
      <c r="B46" s="65">
        <f t="shared" si="2"/>
        <v>43</v>
      </c>
      <c r="C46" s="66">
        <f t="shared" si="3"/>
        <v>45705</v>
      </c>
      <c r="D46" s="70"/>
      <c r="E46" s="69"/>
      <c r="F46" s="69"/>
      <c r="G46" s="70"/>
      <c r="H46" s="70"/>
      <c r="I46" s="71"/>
      <c r="J46" s="71"/>
      <c r="K46" s="70"/>
      <c r="L46" s="70"/>
      <c r="M46" s="99"/>
      <c r="N46" s="99"/>
      <c r="O46" s="70"/>
      <c r="P46" s="203" t="s">
        <v>68</v>
      </c>
      <c r="Q46" s="131" t="s">
        <v>48</v>
      </c>
      <c r="R46" s="204" t="s">
        <v>69</v>
      </c>
      <c r="S46" s="215"/>
      <c r="T46" s="99"/>
      <c r="U46" s="205"/>
      <c r="V46" s="186"/>
      <c r="W46" s="70"/>
      <c r="X46" s="70"/>
      <c r="Y46" s="70"/>
      <c r="Z46" s="70"/>
      <c r="AA46" s="70"/>
      <c r="AB46" s="70"/>
      <c r="AC46" s="70"/>
      <c r="AD46" s="70"/>
      <c r="AE46" s="70"/>
      <c r="AF46" s="70"/>
      <c r="AG46" s="70"/>
      <c r="AH46" s="70"/>
      <c r="AI46" s="207" t="s">
        <v>64</v>
      </c>
      <c r="AJ46" s="208"/>
      <c r="AK46" s="70"/>
      <c r="AL46" s="70"/>
      <c r="AM46" s="73">
        <f t="shared" ref="AM46:AN46" si="47">AM45+1</f>
        <v>43</v>
      </c>
      <c r="AN46" s="73">
        <f t="shared" si="47"/>
        <v>43</v>
      </c>
      <c r="AO46" s="74"/>
      <c r="AP46" s="78">
        <f t="shared" si="13"/>
        <v>34</v>
      </c>
      <c r="AQ46" s="73"/>
      <c r="AR46" s="78"/>
      <c r="AS46" s="78">
        <f t="shared" si="14"/>
        <v>34</v>
      </c>
      <c r="AT46" s="74"/>
      <c r="AU46" s="73"/>
      <c r="AV46" s="74"/>
      <c r="AW46" s="78"/>
      <c r="AX46" s="73"/>
      <c r="AY46" s="79"/>
      <c r="AZ46" s="73"/>
      <c r="BA46" s="73">
        <f t="shared" si="38"/>
        <v>11</v>
      </c>
      <c r="BB46" s="73"/>
    </row>
    <row r="47" ht="18.0" customHeight="1">
      <c r="A47" s="135"/>
      <c r="B47" s="136">
        <f t="shared" si="2"/>
        <v>44</v>
      </c>
      <c r="C47" s="137">
        <f t="shared" si="3"/>
        <v>45712</v>
      </c>
      <c r="D47" s="138"/>
      <c r="E47" s="140"/>
      <c r="F47" s="140"/>
      <c r="G47" s="88"/>
      <c r="H47" s="88"/>
      <c r="I47" s="87"/>
      <c r="J47" s="87"/>
      <c r="K47" s="138"/>
      <c r="L47" s="138"/>
      <c r="M47" s="88"/>
      <c r="N47" s="88"/>
      <c r="O47" s="138"/>
      <c r="P47" s="216"/>
      <c r="Q47" s="142" t="s">
        <v>48</v>
      </c>
      <c r="R47" s="217" t="s">
        <v>65</v>
      </c>
      <c r="S47" s="216"/>
      <c r="T47" s="216"/>
      <c r="U47" s="210"/>
      <c r="V47" s="218"/>
      <c r="W47" s="86"/>
      <c r="X47" s="86"/>
      <c r="Y47" s="86"/>
      <c r="Z47" s="86"/>
      <c r="AA47" s="86"/>
      <c r="AB47" s="86"/>
      <c r="AC47" s="86"/>
      <c r="AD47" s="86"/>
      <c r="AE47" s="86"/>
      <c r="AF47" s="86"/>
      <c r="AG47" s="145"/>
      <c r="AH47" s="145"/>
      <c r="AI47" s="145"/>
      <c r="AJ47" s="145"/>
      <c r="AK47" s="88"/>
      <c r="AL47" s="86"/>
      <c r="AM47" s="146">
        <f t="shared" ref="AM47:AN47" si="48">AM46+1</f>
        <v>44</v>
      </c>
      <c r="AN47" s="146">
        <f t="shared" si="48"/>
        <v>44</v>
      </c>
      <c r="AO47" s="90"/>
      <c r="AP47" s="147">
        <f t="shared" si="13"/>
        <v>35</v>
      </c>
      <c r="AQ47" s="146"/>
      <c r="AR47" s="92"/>
      <c r="AS47" s="92">
        <f t="shared" si="14"/>
        <v>35</v>
      </c>
      <c r="AT47" s="90"/>
      <c r="AU47" s="146"/>
      <c r="AV47" s="90"/>
      <c r="AW47" s="147"/>
      <c r="AX47" s="89"/>
      <c r="AY47" s="93"/>
      <c r="AZ47" s="146"/>
      <c r="BA47" s="89">
        <f t="shared" si="38"/>
        <v>12</v>
      </c>
      <c r="BB47" s="146"/>
    </row>
    <row r="48" ht="15.75" customHeight="1">
      <c r="A48" s="46"/>
      <c r="B48" s="47">
        <f t="shared" si="2"/>
        <v>45</v>
      </c>
      <c r="C48" s="94">
        <f t="shared" si="3"/>
        <v>45719</v>
      </c>
      <c r="D48" s="56"/>
      <c r="E48" s="51"/>
      <c r="F48" s="51"/>
      <c r="G48" s="52"/>
      <c r="H48" s="52"/>
      <c r="I48" s="54"/>
      <c r="J48" s="54"/>
      <c r="K48" s="56"/>
      <c r="L48" s="56"/>
      <c r="M48" s="96"/>
      <c r="N48" s="96"/>
      <c r="O48" s="56"/>
      <c r="P48" s="219"/>
      <c r="Q48" s="127" t="s">
        <v>48</v>
      </c>
      <c r="R48" s="220"/>
      <c r="S48" s="56"/>
      <c r="T48" s="56"/>
      <c r="U48" s="221"/>
      <c r="V48" s="212"/>
      <c r="W48" s="56"/>
      <c r="X48" s="56"/>
      <c r="Y48" s="56"/>
      <c r="Z48" s="56"/>
      <c r="AA48" s="56"/>
      <c r="AB48" s="56"/>
      <c r="AC48" s="56"/>
      <c r="AD48" s="56"/>
      <c r="AE48" s="56"/>
      <c r="AF48" s="56"/>
      <c r="AG48" s="52"/>
      <c r="AH48" s="52"/>
      <c r="AI48" s="52"/>
      <c r="AJ48" s="52"/>
      <c r="AK48" s="52"/>
      <c r="AL48" s="52"/>
      <c r="AM48" s="57">
        <f t="shared" ref="AM48:AN48" si="49">AM47+1</f>
        <v>45</v>
      </c>
      <c r="AN48" s="57">
        <f t="shared" si="49"/>
        <v>45</v>
      </c>
      <c r="AO48" s="58"/>
      <c r="AP48" s="62">
        <f t="shared" si="13"/>
        <v>36</v>
      </c>
      <c r="AQ48" s="57"/>
      <c r="AR48" s="62"/>
      <c r="AS48" s="62">
        <f t="shared" si="14"/>
        <v>36</v>
      </c>
      <c r="AT48" s="58"/>
      <c r="AU48" s="57"/>
      <c r="AV48" s="58"/>
      <c r="AW48" s="62"/>
      <c r="AX48" s="57"/>
      <c r="AY48" s="97"/>
      <c r="AZ48" s="57"/>
      <c r="BA48" s="57">
        <f t="shared" si="38"/>
        <v>13</v>
      </c>
      <c r="BB48" s="57"/>
    </row>
    <row r="49" ht="18.75" customHeight="1">
      <c r="A49" s="64" t="s">
        <v>70</v>
      </c>
      <c r="B49" s="65">
        <f t="shared" si="2"/>
        <v>46</v>
      </c>
      <c r="C49" s="66">
        <f t="shared" si="3"/>
        <v>45726</v>
      </c>
      <c r="D49" s="72"/>
      <c r="E49" s="69"/>
      <c r="F49" s="69"/>
      <c r="G49" s="70"/>
      <c r="H49" s="70"/>
      <c r="I49" s="71"/>
      <c r="J49" s="71"/>
      <c r="K49" s="72"/>
      <c r="L49" s="72"/>
      <c r="M49" s="99"/>
      <c r="N49" s="99"/>
      <c r="O49" s="72"/>
      <c r="P49" s="184"/>
      <c r="Q49" s="131" t="s">
        <v>48</v>
      </c>
      <c r="R49" s="214"/>
      <c r="S49" s="70"/>
      <c r="T49" s="72"/>
      <c r="U49" s="205"/>
      <c r="V49" s="205"/>
      <c r="W49" s="99"/>
      <c r="X49" s="99"/>
      <c r="Y49" s="72"/>
      <c r="Z49" s="72"/>
      <c r="AA49" s="72"/>
      <c r="AB49" s="72"/>
      <c r="AC49" s="72"/>
      <c r="AD49" s="72"/>
      <c r="AE49" s="72"/>
      <c r="AF49" s="72"/>
      <c r="AG49" s="70"/>
      <c r="AH49" s="70"/>
      <c r="AI49" s="70"/>
      <c r="AJ49" s="70"/>
      <c r="AK49" s="70"/>
      <c r="AL49" s="70"/>
      <c r="AM49" s="73">
        <f t="shared" ref="AM49:AN49" si="50">AM48+1</f>
        <v>46</v>
      </c>
      <c r="AN49" s="73">
        <f t="shared" si="50"/>
        <v>46</v>
      </c>
      <c r="AO49" s="74"/>
      <c r="AP49" s="78">
        <f t="shared" si="13"/>
        <v>37</v>
      </c>
      <c r="AQ49" s="73"/>
      <c r="AR49" s="78"/>
      <c r="AS49" s="78">
        <f t="shared" si="14"/>
        <v>37</v>
      </c>
      <c r="AT49" s="74"/>
      <c r="AU49" s="73"/>
      <c r="AV49" s="119"/>
      <c r="AW49" s="78"/>
      <c r="AX49" s="73"/>
      <c r="AY49" s="79"/>
      <c r="AZ49" s="73"/>
      <c r="BA49" s="73">
        <f t="shared" si="38"/>
        <v>14</v>
      </c>
      <c r="BB49" s="73"/>
    </row>
    <row r="50" ht="21.0" customHeight="1">
      <c r="A50" s="133">
        <f>C48</f>
        <v>45719</v>
      </c>
      <c r="B50" s="65">
        <f t="shared" si="2"/>
        <v>47</v>
      </c>
      <c r="C50" s="66">
        <f t="shared" si="3"/>
        <v>45733</v>
      </c>
      <c r="D50" s="70"/>
      <c r="E50" s="98"/>
      <c r="F50" s="69"/>
      <c r="G50" s="70"/>
      <c r="H50" s="70"/>
      <c r="I50" s="71"/>
      <c r="J50" s="71"/>
      <c r="K50" s="72"/>
      <c r="L50" s="72"/>
      <c r="M50" s="99"/>
      <c r="N50" s="99"/>
      <c r="O50" s="70"/>
      <c r="P50" s="213"/>
      <c r="Q50" s="131" t="s">
        <v>48</v>
      </c>
      <c r="R50" s="204" t="s">
        <v>67</v>
      </c>
      <c r="S50" s="215"/>
      <c r="T50" s="184"/>
      <c r="U50" s="205"/>
      <c r="V50" s="205"/>
      <c r="W50" s="99"/>
      <c r="X50" s="99"/>
      <c r="Y50" s="70"/>
      <c r="Z50" s="70"/>
      <c r="AA50" s="70"/>
      <c r="AB50" s="70"/>
      <c r="AC50" s="70"/>
      <c r="AD50" s="70"/>
      <c r="AE50" s="70"/>
      <c r="AF50" s="70"/>
      <c r="AG50" s="70"/>
      <c r="AH50" s="70"/>
      <c r="AI50" s="70"/>
      <c r="AJ50" s="70"/>
      <c r="AK50" s="70"/>
      <c r="AL50" s="70"/>
      <c r="AM50" s="73">
        <f t="shared" ref="AM50:AN50" si="51">AM49+1</f>
        <v>47</v>
      </c>
      <c r="AN50" s="100">
        <f t="shared" si="51"/>
        <v>47</v>
      </c>
      <c r="AO50" s="74"/>
      <c r="AP50" s="78">
        <f t="shared" si="13"/>
        <v>38</v>
      </c>
      <c r="AQ50" s="73"/>
      <c r="AR50" s="78"/>
      <c r="AS50" s="78">
        <f t="shared" si="14"/>
        <v>38</v>
      </c>
      <c r="AT50" s="74"/>
      <c r="AU50" s="102"/>
      <c r="AV50" s="74"/>
      <c r="AW50" s="222"/>
      <c r="AX50" s="73"/>
      <c r="AY50" s="79"/>
      <c r="AZ50" s="73"/>
      <c r="BA50" s="73">
        <f t="shared" si="38"/>
        <v>15</v>
      </c>
      <c r="BB50" s="73"/>
    </row>
    <row r="51" ht="17.25" customHeight="1">
      <c r="A51" s="64"/>
      <c r="B51" s="65">
        <f t="shared" si="2"/>
        <v>48</v>
      </c>
      <c r="C51" s="66">
        <f t="shared" si="3"/>
        <v>45740</v>
      </c>
      <c r="D51" s="70"/>
      <c r="E51" s="69"/>
      <c r="F51" s="69"/>
      <c r="G51" s="70"/>
      <c r="H51" s="70"/>
      <c r="I51" s="71"/>
      <c r="J51" s="71"/>
      <c r="K51" s="70"/>
      <c r="L51" s="70"/>
      <c r="M51" s="99"/>
      <c r="N51" s="99"/>
      <c r="O51" s="70"/>
      <c r="P51" s="203" t="s">
        <v>71</v>
      </c>
      <c r="Q51" s="131" t="s">
        <v>48</v>
      </c>
      <c r="R51" s="204" t="s">
        <v>69</v>
      </c>
      <c r="S51" s="215"/>
      <c r="T51" s="184"/>
      <c r="U51" s="205"/>
      <c r="V51" s="205"/>
      <c r="W51" s="99"/>
      <c r="X51" s="99"/>
      <c r="Y51" s="70"/>
      <c r="Z51" s="70"/>
      <c r="AA51" s="70"/>
      <c r="AB51" s="70"/>
      <c r="AC51" s="70"/>
      <c r="AD51" s="70"/>
      <c r="AE51" s="70"/>
      <c r="AF51" s="70"/>
      <c r="AG51" s="70"/>
      <c r="AH51" s="70"/>
      <c r="AI51" s="207" t="s">
        <v>64</v>
      </c>
      <c r="AJ51" s="208"/>
      <c r="AK51" s="70"/>
      <c r="AL51" s="70"/>
      <c r="AM51" s="73">
        <f t="shared" ref="AM51:AN51" si="52">AM50+1</f>
        <v>48</v>
      </c>
      <c r="AN51" s="73">
        <f t="shared" si="52"/>
        <v>48</v>
      </c>
      <c r="AO51" s="74"/>
      <c r="AP51" s="78">
        <f t="shared" si="13"/>
        <v>39</v>
      </c>
      <c r="AQ51" s="73"/>
      <c r="AR51" s="78"/>
      <c r="AS51" s="78">
        <f t="shared" si="14"/>
        <v>39</v>
      </c>
      <c r="AT51" s="74"/>
      <c r="AU51" s="73"/>
      <c r="AV51" s="74"/>
      <c r="AW51" s="78"/>
      <c r="AX51" s="73"/>
      <c r="AY51" s="79"/>
      <c r="AZ51" s="73"/>
      <c r="BA51" s="73">
        <f t="shared" si="38"/>
        <v>16</v>
      </c>
      <c r="BB51" s="73"/>
    </row>
    <row r="52" ht="17.25" customHeight="1">
      <c r="A52" s="81"/>
      <c r="B52" s="82">
        <f t="shared" si="2"/>
        <v>49</v>
      </c>
      <c r="C52" s="83">
        <f t="shared" si="3"/>
        <v>45747</v>
      </c>
      <c r="D52" s="84"/>
      <c r="E52" s="85"/>
      <c r="F52" s="85"/>
      <c r="G52" s="86"/>
      <c r="H52" s="86"/>
      <c r="I52" s="87"/>
      <c r="J52" s="87"/>
      <c r="K52" s="84"/>
      <c r="L52" s="84"/>
      <c r="M52" s="88"/>
      <c r="N52" s="88"/>
      <c r="O52" s="84"/>
      <c r="P52" s="216"/>
      <c r="Q52" s="142" t="s">
        <v>48</v>
      </c>
      <c r="R52" s="209" t="s">
        <v>65</v>
      </c>
      <c r="S52" s="86"/>
      <c r="T52" s="86"/>
      <c r="U52" s="223" t="s">
        <v>72</v>
      </c>
      <c r="V52" s="210"/>
      <c r="W52" s="210"/>
      <c r="X52" s="210">
        <f t="shared" ref="X52:X85" si="55">X51+1</f>
        <v>1</v>
      </c>
      <c r="Y52" s="84"/>
      <c r="Z52" s="84"/>
      <c r="AA52" s="84"/>
      <c r="AB52" s="84"/>
      <c r="AC52" s="84"/>
      <c r="AD52" s="84"/>
      <c r="AE52" s="84"/>
      <c r="AF52" s="84"/>
      <c r="AG52" s="86"/>
      <c r="AH52" s="86"/>
      <c r="AI52" s="86"/>
      <c r="AJ52" s="86"/>
      <c r="AK52" s="86"/>
      <c r="AL52" s="86"/>
      <c r="AM52" s="89">
        <f t="shared" ref="AM52:AN52" si="53">AM51+1</f>
        <v>49</v>
      </c>
      <c r="AN52" s="89">
        <f t="shared" si="53"/>
        <v>49</v>
      </c>
      <c r="AO52" s="90"/>
      <c r="AP52" s="92">
        <f t="shared" si="13"/>
        <v>40</v>
      </c>
      <c r="AQ52" s="89"/>
      <c r="AR52" s="92"/>
      <c r="AS52" s="92">
        <f t="shared" si="14"/>
        <v>40</v>
      </c>
      <c r="AT52" s="90"/>
      <c r="AU52" s="89"/>
      <c r="AV52" s="90"/>
      <c r="AW52" s="92"/>
      <c r="AX52" s="89"/>
      <c r="AY52" s="93"/>
      <c r="AZ52" s="89">
        <f t="shared" ref="AZ52:BA52" si="54">AZ51+1</f>
        <v>1</v>
      </c>
      <c r="BA52" s="89">
        <f t="shared" si="54"/>
        <v>17</v>
      </c>
      <c r="BB52" s="89"/>
    </row>
    <row r="53" ht="17.25" customHeight="1">
      <c r="A53" s="46"/>
      <c r="B53" s="193">
        <f t="shared" si="2"/>
        <v>50</v>
      </c>
      <c r="C53" s="194">
        <f t="shared" si="3"/>
        <v>45754</v>
      </c>
      <c r="D53" s="156"/>
      <c r="E53" s="196"/>
      <c r="F53" s="196"/>
      <c r="G53" s="156"/>
      <c r="H53" s="156"/>
      <c r="I53" s="95"/>
      <c r="J53" s="95"/>
      <c r="K53" s="156"/>
      <c r="L53" s="156"/>
      <c r="M53" s="154"/>
      <c r="N53" s="154"/>
      <c r="O53" s="156"/>
      <c r="P53" s="156"/>
      <c r="Q53" s="157" t="s">
        <v>48</v>
      </c>
      <c r="R53" s="158"/>
      <c r="S53" s="156"/>
      <c r="T53" s="156"/>
      <c r="U53" s="224"/>
      <c r="V53" s="224"/>
      <c r="W53" s="224"/>
      <c r="X53" s="224">
        <f t="shared" si="55"/>
        <v>2</v>
      </c>
      <c r="Y53" s="195"/>
      <c r="Z53" s="195"/>
      <c r="AA53" s="195"/>
      <c r="AB53" s="195"/>
      <c r="AC53" s="195"/>
      <c r="AD53" s="195"/>
      <c r="AE53" s="195"/>
      <c r="AF53" s="195"/>
      <c r="AG53" s="156"/>
      <c r="AH53" s="156"/>
      <c r="AI53" s="156"/>
      <c r="AJ53" s="156"/>
      <c r="AK53" s="156"/>
      <c r="AL53" s="156"/>
      <c r="AM53" s="202">
        <f t="shared" ref="AM53:AN53" si="56">AM52+1</f>
        <v>50</v>
      </c>
      <c r="AN53" s="202">
        <f t="shared" si="56"/>
        <v>50</v>
      </c>
      <c r="AO53" s="162"/>
      <c r="AP53" s="163">
        <f t="shared" si="13"/>
        <v>41</v>
      </c>
      <c r="AQ53" s="202"/>
      <c r="AR53" s="163"/>
      <c r="AS53" s="163">
        <f t="shared" si="14"/>
        <v>41</v>
      </c>
      <c r="AT53" s="162"/>
      <c r="AU53" s="202"/>
      <c r="AV53" s="162"/>
      <c r="AW53" s="163"/>
      <c r="AX53" s="202"/>
      <c r="AY53" s="165"/>
      <c r="AZ53" s="202">
        <f t="shared" ref="AZ53:BA53" si="57">AZ52+1</f>
        <v>2</v>
      </c>
      <c r="BA53" s="202">
        <f t="shared" si="57"/>
        <v>18</v>
      </c>
      <c r="BB53" s="202"/>
    </row>
    <row r="54" ht="16.5" customHeight="1">
      <c r="A54" s="64" t="s">
        <v>73</v>
      </c>
      <c r="B54" s="65">
        <f t="shared" si="2"/>
        <v>51</v>
      </c>
      <c r="C54" s="66">
        <f t="shared" si="3"/>
        <v>45761</v>
      </c>
      <c r="D54" s="70"/>
      <c r="E54" s="69"/>
      <c r="F54" s="69"/>
      <c r="G54" s="70"/>
      <c r="H54" s="70"/>
      <c r="I54" s="71"/>
      <c r="J54" s="71"/>
      <c r="K54" s="70"/>
      <c r="L54" s="70"/>
      <c r="M54" s="99"/>
      <c r="N54" s="99"/>
      <c r="O54" s="72"/>
      <c r="P54" s="72"/>
      <c r="Q54" s="131" t="s">
        <v>48</v>
      </c>
      <c r="R54" s="225"/>
      <c r="S54" s="72"/>
      <c r="T54" s="70"/>
      <c r="U54" s="205"/>
      <c r="V54" s="205"/>
      <c r="W54" s="205"/>
      <c r="X54" s="205">
        <f t="shared" si="55"/>
        <v>3</v>
      </c>
      <c r="Y54" s="72"/>
      <c r="Z54" s="72"/>
      <c r="AA54" s="72"/>
      <c r="AB54" s="70"/>
      <c r="AC54" s="70"/>
      <c r="AD54" s="70"/>
      <c r="AE54" s="70"/>
      <c r="AF54" s="70"/>
      <c r="AG54" s="70"/>
      <c r="AH54" s="70"/>
      <c r="AI54" s="70"/>
      <c r="AJ54" s="70"/>
      <c r="AK54" s="70"/>
      <c r="AL54" s="70"/>
      <c r="AM54" s="73">
        <f t="shared" ref="AM54:AN54" si="58">AM53+1</f>
        <v>51</v>
      </c>
      <c r="AN54" s="100">
        <f t="shared" si="58"/>
        <v>51</v>
      </c>
      <c r="AO54" s="74"/>
      <c r="AP54" s="78">
        <f t="shared" si="13"/>
        <v>42</v>
      </c>
      <c r="AQ54" s="73"/>
      <c r="AR54" s="78"/>
      <c r="AS54" s="78">
        <f t="shared" si="14"/>
        <v>42</v>
      </c>
      <c r="AT54" s="74"/>
      <c r="AU54" s="102"/>
      <c r="AV54" s="74"/>
      <c r="AW54" s="222"/>
      <c r="AX54" s="73"/>
      <c r="AY54" s="79"/>
      <c r="AZ54" s="73">
        <f t="shared" ref="AZ54:BA54" si="59">AZ53+1</f>
        <v>3</v>
      </c>
      <c r="BA54" s="73">
        <f t="shared" si="59"/>
        <v>19</v>
      </c>
      <c r="BB54" s="73"/>
    </row>
    <row r="55" ht="16.5" customHeight="1">
      <c r="A55" s="133">
        <f>C53</f>
        <v>45754</v>
      </c>
      <c r="B55" s="65">
        <f t="shared" si="2"/>
        <v>52</v>
      </c>
      <c r="C55" s="66">
        <f t="shared" si="3"/>
        <v>45768</v>
      </c>
      <c r="D55" s="72"/>
      <c r="E55" s="98"/>
      <c r="F55" s="69"/>
      <c r="G55" s="70"/>
      <c r="H55" s="70"/>
      <c r="I55" s="71"/>
      <c r="J55" s="71"/>
      <c r="K55" s="72"/>
      <c r="L55" s="72"/>
      <c r="M55" s="99"/>
      <c r="N55" s="99"/>
      <c r="O55" s="226"/>
      <c r="P55" s="213"/>
      <c r="Q55" s="131" t="s">
        <v>48</v>
      </c>
      <c r="R55" s="214" t="s">
        <v>67</v>
      </c>
      <c r="S55" s="134"/>
      <c r="T55" s="72"/>
      <c r="U55" s="205"/>
      <c r="V55" s="205"/>
      <c r="W55" s="205"/>
      <c r="X55" s="205">
        <f t="shared" si="55"/>
        <v>4</v>
      </c>
      <c r="Y55" s="72"/>
      <c r="Z55" s="72"/>
      <c r="AA55" s="72"/>
      <c r="AB55" s="70"/>
      <c r="AC55" s="70"/>
      <c r="AD55" s="70"/>
      <c r="AE55" s="70"/>
      <c r="AF55" s="70"/>
      <c r="AG55" s="70"/>
      <c r="AH55" s="70"/>
      <c r="AI55" s="70"/>
      <c r="AJ55" s="70"/>
      <c r="AK55" s="70"/>
      <c r="AL55" s="70"/>
      <c r="AM55" s="73">
        <f t="shared" ref="AM55:AN55" si="60">AM54+1</f>
        <v>52</v>
      </c>
      <c r="AN55" s="73">
        <f t="shared" si="60"/>
        <v>52</v>
      </c>
      <c r="AO55" s="74"/>
      <c r="AP55" s="78">
        <f t="shared" si="13"/>
        <v>43</v>
      </c>
      <c r="AQ55" s="73"/>
      <c r="AR55" s="78"/>
      <c r="AS55" s="78">
        <f t="shared" si="14"/>
        <v>43</v>
      </c>
      <c r="AT55" s="74"/>
      <c r="AU55" s="73"/>
      <c r="AV55" s="74"/>
      <c r="AW55" s="78"/>
      <c r="AX55" s="73"/>
      <c r="AY55" s="79"/>
      <c r="AZ55" s="73">
        <f t="shared" ref="AZ55:BA55" si="61">AZ54+1</f>
        <v>4</v>
      </c>
      <c r="BA55" s="73">
        <f t="shared" si="61"/>
        <v>20</v>
      </c>
      <c r="BB55" s="73"/>
    </row>
    <row r="56" ht="14.25" customHeight="1">
      <c r="A56" s="81"/>
      <c r="B56" s="82">
        <f t="shared" si="2"/>
        <v>53</v>
      </c>
      <c r="C56" s="83">
        <f t="shared" si="3"/>
        <v>45775</v>
      </c>
      <c r="D56" s="84"/>
      <c r="E56" s="85"/>
      <c r="F56" s="85"/>
      <c r="G56" s="86"/>
      <c r="H56" s="86"/>
      <c r="I56" s="87"/>
      <c r="J56" s="87"/>
      <c r="K56" s="84"/>
      <c r="L56" s="84"/>
      <c r="M56" s="88"/>
      <c r="N56" s="88"/>
      <c r="O56" s="84"/>
      <c r="P56" s="227" t="s">
        <v>74</v>
      </c>
      <c r="Q56" s="142" t="s">
        <v>48</v>
      </c>
      <c r="R56" s="217" t="s">
        <v>63</v>
      </c>
      <c r="S56" s="228"/>
      <c r="T56" s="229"/>
      <c r="U56" s="210"/>
      <c r="V56" s="210"/>
      <c r="W56" s="210"/>
      <c r="X56" s="210">
        <f t="shared" si="55"/>
        <v>5</v>
      </c>
      <c r="Y56" s="84"/>
      <c r="Z56" s="84"/>
      <c r="AA56" s="84"/>
      <c r="AB56" s="84"/>
      <c r="AC56" s="84"/>
      <c r="AD56" s="84"/>
      <c r="AE56" s="84"/>
      <c r="AF56" s="84"/>
      <c r="AG56" s="86"/>
      <c r="AH56" s="86"/>
      <c r="AI56" s="207" t="s">
        <v>64</v>
      </c>
      <c r="AJ56" s="208"/>
      <c r="AK56" s="86"/>
      <c r="AL56" s="86"/>
      <c r="AM56" s="89">
        <f t="shared" ref="AM56:AN56" si="62">AM55+1</f>
        <v>53</v>
      </c>
      <c r="AN56" s="89">
        <f t="shared" si="62"/>
        <v>53</v>
      </c>
      <c r="AO56" s="90"/>
      <c r="AP56" s="92">
        <f t="shared" si="13"/>
        <v>44</v>
      </c>
      <c r="AQ56" s="89"/>
      <c r="AR56" s="92"/>
      <c r="AS56" s="92">
        <f t="shared" si="14"/>
        <v>44</v>
      </c>
      <c r="AT56" s="90"/>
      <c r="AU56" s="89"/>
      <c r="AV56" s="90"/>
      <c r="AW56" s="92"/>
      <c r="AX56" s="89"/>
      <c r="AY56" s="93"/>
      <c r="AZ56" s="89">
        <f t="shared" ref="AZ56:BA56" si="63">AZ55+1</f>
        <v>5</v>
      </c>
      <c r="BA56" s="89">
        <f t="shared" si="63"/>
        <v>21</v>
      </c>
      <c r="BB56" s="89"/>
    </row>
    <row r="57" ht="15.75" customHeight="1">
      <c r="A57" s="46"/>
      <c r="B57" s="47">
        <f t="shared" si="2"/>
        <v>54</v>
      </c>
      <c r="C57" s="94">
        <f t="shared" si="3"/>
        <v>45782</v>
      </c>
      <c r="D57" s="56"/>
      <c r="E57" s="52"/>
      <c r="F57" s="52"/>
      <c r="G57" s="52"/>
      <c r="H57" s="52"/>
      <c r="I57" s="54"/>
      <c r="J57" s="54"/>
      <c r="K57" s="56"/>
      <c r="L57" s="56"/>
      <c r="M57" s="96"/>
      <c r="N57" s="96"/>
      <c r="O57" s="56"/>
      <c r="P57" s="183"/>
      <c r="Q57" s="127" t="s">
        <v>48</v>
      </c>
      <c r="R57" s="230" t="s">
        <v>65</v>
      </c>
      <c r="S57" s="183"/>
      <c r="T57" s="183"/>
      <c r="U57" s="221"/>
      <c r="V57" s="221"/>
      <c r="W57" s="221"/>
      <c r="X57" s="221">
        <f t="shared" si="55"/>
        <v>6</v>
      </c>
      <c r="Y57" s="52"/>
      <c r="Z57" s="52"/>
      <c r="AA57" s="52"/>
      <c r="AB57" s="52"/>
      <c r="AC57" s="52"/>
      <c r="AD57" s="52"/>
      <c r="AE57" s="52"/>
      <c r="AF57" s="52"/>
      <c r="AG57" s="52"/>
      <c r="AH57" s="52"/>
      <c r="AI57" s="52"/>
      <c r="AJ57" s="52"/>
      <c r="AK57" s="52"/>
      <c r="AL57" s="52"/>
      <c r="AM57" s="57">
        <f t="shared" ref="AM57:AN57" si="64">AM56+1</f>
        <v>54</v>
      </c>
      <c r="AN57" s="57">
        <f t="shared" si="64"/>
        <v>54</v>
      </c>
      <c r="AO57" s="58"/>
      <c r="AP57" s="62">
        <f t="shared" si="13"/>
        <v>45</v>
      </c>
      <c r="AQ57" s="57"/>
      <c r="AR57" s="62"/>
      <c r="AS57" s="62">
        <f t="shared" si="14"/>
        <v>45</v>
      </c>
      <c r="AT57" s="58"/>
      <c r="AU57" s="57"/>
      <c r="AV57" s="58"/>
      <c r="AW57" s="62"/>
      <c r="AX57" s="57"/>
      <c r="AY57" s="97"/>
      <c r="AZ57" s="57">
        <f t="shared" ref="AZ57:BA57" si="65">AZ56+1</f>
        <v>6</v>
      </c>
      <c r="BA57" s="57">
        <f t="shared" si="65"/>
        <v>22</v>
      </c>
      <c r="BB57" s="57"/>
    </row>
    <row r="58" ht="15.0" customHeight="1">
      <c r="A58" s="64" t="s">
        <v>75</v>
      </c>
      <c r="B58" s="65">
        <f t="shared" si="2"/>
        <v>55</v>
      </c>
      <c r="C58" s="66">
        <f t="shared" si="3"/>
        <v>45789</v>
      </c>
      <c r="D58" s="72"/>
      <c r="E58" s="70"/>
      <c r="F58" s="70"/>
      <c r="G58" s="70"/>
      <c r="H58" s="70"/>
      <c r="I58" s="71"/>
      <c r="J58" s="71"/>
      <c r="K58" s="72"/>
      <c r="L58" s="72"/>
      <c r="M58" s="99"/>
      <c r="N58" s="99"/>
      <c r="O58" s="72"/>
      <c r="P58" s="184"/>
      <c r="Q58" s="131" t="s">
        <v>48</v>
      </c>
      <c r="R58" s="215"/>
      <c r="S58" s="184"/>
      <c r="T58" s="184"/>
      <c r="U58" s="205"/>
      <c r="V58" s="205"/>
      <c r="W58" s="205"/>
      <c r="X58" s="205">
        <f t="shared" si="55"/>
        <v>7</v>
      </c>
      <c r="Y58" s="72"/>
      <c r="Z58" s="72"/>
      <c r="AA58" s="72"/>
      <c r="AB58" s="72"/>
      <c r="AC58" s="72"/>
      <c r="AD58" s="72"/>
      <c r="AE58" s="72"/>
      <c r="AF58" s="72"/>
      <c r="AG58" s="70"/>
      <c r="AH58" s="70"/>
      <c r="AI58" s="70"/>
      <c r="AJ58" s="70"/>
      <c r="AK58" s="70"/>
      <c r="AL58" s="70"/>
      <c r="AM58" s="73">
        <f t="shared" ref="AM58:AN58" si="66">AM57+1</f>
        <v>55</v>
      </c>
      <c r="AN58" s="73">
        <f t="shared" si="66"/>
        <v>55</v>
      </c>
      <c r="AO58" s="74"/>
      <c r="AP58" s="78">
        <f t="shared" si="13"/>
        <v>46</v>
      </c>
      <c r="AQ58" s="73"/>
      <c r="AR58" s="78"/>
      <c r="AS58" s="78">
        <f t="shared" si="14"/>
        <v>46</v>
      </c>
      <c r="AT58" s="74"/>
      <c r="AU58" s="73"/>
      <c r="AV58" s="74"/>
      <c r="AW58" s="78"/>
      <c r="AX58" s="73"/>
      <c r="AY58" s="79"/>
      <c r="AZ58" s="73">
        <f t="shared" ref="AZ58:BA58" si="67">AZ57+1</f>
        <v>7</v>
      </c>
      <c r="BA58" s="73">
        <f t="shared" si="67"/>
        <v>23</v>
      </c>
      <c r="BB58" s="73"/>
    </row>
    <row r="59" ht="14.25" customHeight="1">
      <c r="A59" s="133">
        <f>C57</f>
        <v>45782</v>
      </c>
      <c r="B59" s="65">
        <f t="shared" si="2"/>
        <v>56</v>
      </c>
      <c r="C59" s="66">
        <f t="shared" si="3"/>
        <v>45796</v>
      </c>
      <c r="D59" s="70"/>
      <c r="E59" s="70"/>
      <c r="F59" s="70"/>
      <c r="G59" s="70"/>
      <c r="H59" s="70"/>
      <c r="I59" s="71"/>
      <c r="J59" s="71"/>
      <c r="K59" s="70"/>
      <c r="L59" s="70"/>
      <c r="M59" s="99"/>
      <c r="N59" s="99"/>
      <c r="O59" s="70"/>
      <c r="P59" s="184"/>
      <c r="Q59" s="131" t="s">
        <v>48</v>
      </c>
      <c r="R59" s="134"/>
      <c r="S59" s="70"/>
      <c r="T59" s="70"/>
      <c r="U59" s="205"/>
      <c r="V59" s="205"/>
      <c r="W59" s="205"/>
      <c r="X59" s="205">
        <f t="shared" si="55"/>
        <v>8</v>
      </c>
      <c r="Y59" s="72"/>
      <c r="Z59" s="72"/>
      <c r="AA59" s="72"/>
      <c r="AB59" s="72"/>
      <c r="AC59" s="72"/>
      <c r="AD59" s="72"/>
      <c r="AE59" s="72"/>
      <c r="AF59" s="72"/>
      <c r="AG59" s="70"/>
      <c r="AH59" s="70"/>
      <c r="AI59" s="70"/>
      <c r="AJ59" s="70"/>
      <c r="AK59" s="70"/>
      <c r="AL59" s="70"/>
      <c r="AM59" s="73">
        <f t="shared" ref="AM59:AN59" si="68">AM58+1</f>
        <v>56</v>
      </c>
      <c r="AN59" s="100">
        <f t="shared" si="68"/>
        <v>56</v>
      </c>
      <c r="AO59" s="74"/>
      <c r="AP59" s="78">
        <f t="shared" si="13"/>
        <v>47</v>
      </c>
      <c r="AQ59" s="73"/>
      <c r="AR59" s="78"/>
      <c r="AS59" s="78">
        <f t="shared" si="14"/>
        <v>47</v>
      </c>
      <c r="AT59" s="74"/>
      <c r="AU59" s="102"/>
      <c r="AV59" s="74"/>
      <c r="AW59" s="222"/>
      <c r="AX59" s="73"/>
      <c r="AY59" s="79"/>
      <c r="AZ59" s="73">
        <f t="shared" ref="AZ59:BA59" si="69">AZ58+1</f>
        <v>8</v>
      </c>
      <c r="BA59" s="73">
        <f t="shared" si="69"/>
        <v>24</v>
      </c>
      <c r="BB59" s="73"/>
    </row>
    <row r="60" ht="15.75" customHeight="1">
      <c r="A60" s="64"/>
      <c r="B60" s="82">
        <f t="shared" si="2"/>
        <v>57</v>
      </c>
      <c r="C60" s="83">
        <f t="shared" si="3"/>
        <v>45803</v>
      </c>
      <c r="D60" s="86"/>
      <c r="E60" s="86"/>
      <c r="F60" s="86"/>
      <c r="G60" s="86"/>
      <c r="H60" s="86"/>
      <c r="I60" s="87"/>
      <c r="J60" s="87"/>
      <c r="K60" s="86"/>
      <c r="L60" s="86"/>
      <c r="M60" s="88"/>
      <c r="N60" s="88"/>
      <c r="O60" s="86"/>
      <c r="P60" s="86"/>
      <c r="Q60" s="142" t="s">
        <v>48</v>
      </c>
      <c r="R60" s="143"/>
      <c r="S60" s="86"/>
      <c r="T60" s="86"/>
      <c r="U60" s="210"/>
      <c r="V60" s="210"/>
      <c r="W60" s="210"/>
      <c r="X60" s="210">
        <f t="shared" si="55"/>
        <v>9</v>
      </c>
      <c r="Y60" s="84"/>
      <c r="Z60" s="84"/>
      <c r="AA60" s="84"/>
      <c r="AB60" s="84"/>
      <c r="AC60" s="84"/>
      <c r="AD60" s="84"/>
      <c r="AE60" s="84"/>
      <c r="AF60" s="84"/>
      <c r="AG60" s="86"/>
      <c r="AH60" s="86"/>
      <c r="AI60" s="86"/>
      <c r="AJ60" s="86"/>
      <c r="AK60" s="86"/>
      <c r="AL60" s="86"/>
      <c r="AM60" s="89">
        <f t="shared" ref="AM60:AN60" si="70">AM59+1</f>
        <v>57</v>
      </c>
      <c r="AN60" s="89">
        <f t="shared" si="70"/>
        <v>57</v>
      </c>
      <c r="AO60" s="90"/>
      <c r="AP60" s="92">
        <f t="shared" si="13"/>
        <v>48</v>
      </c>
      <c r="AQ60" s="89"/>
      <c r="AR60" s="92"/>
      <c r="AS60" s="92">
        <f t="shared" si="14"/>
        <v>48</v>
      </c>
      <c r="AT60" s="182"/>
      <c r="AU60" s="89"/>
      <c r="AV60" s="90"/>
      <c r="AW60" s="92"/>
      <c r="AX60" s="89"/>
      <c r="AY60" s="93"/>
      <c r="AZ60" s="89">
        <f t="shared" ref="AZ60:BA60" si="71">AZ59+1</f>
        <v>9</v>
      </c>
      <c r="BA60" s="89">
        <f t="shared" si="71"/>
        <v>25</v>
      </c>
      <c r="BB60" s="89"/>
    </row>
    <row r="61" ht="19.5" customHeight="1">
      <c r="A61" s="105"/>
      <c r="B61" s="47">
        <f t="shared" si="2"/>
        <v>58</v>
      </c>
      <c r="C61" s="94">
        <f t="shared" si="3"/>
        <v>45810</v>
      </c>
      <c r="D61" s="56"/>
      <c r="E61" s="52"/>
      <c r="F61" s="52"/>
      <c r="G61" s="52"/>
      <c r="H61" s="52"/>
      <c r="I61" s="54"/>
      <c r="J61" s="54"/>
      <c r="K61" s="56"/>
      <c r="L61" s="56"/>
      <c r="M61" s="96"/>
      <c r="N61" s="52"/>
      <c r="O61" s="56"/>
      <c r="P61" s="52"/>
      <c r="Q61" s="127" t="s">
        <v>48</v>
      </c>
      <c r="R61" s="128"/>
      <c r="S61" s="52"/>
      <c r="T61" s="52"/>
      <c r="U61" s="221"/>
      <c r="V61" s="221"/>
      <c r="W61" s="221"/>
      <c r="X61" s="221">
        <f t="shared" si="55"/>
        <v>10</v>
      </c>
      <c r="Y61" s="52"/>
      <c r="Z61" s="52"/>
      <c r="AA61" s="52"/>
      <c r="AB61" s="52"/>
      <c r="AC61" s="52"/>
      <c r="AD61" s="52"/>
      <c r="AE61" s="52"/>
      <c r="AF61" s="52"/>
      <c r="AG61" s="52"/>
      <c r="AH61" s="52"/>
      <c r="AI61" s="52"/>
      <c r="AJ61" s="52"/>
      <c r="AK61" s="52"/>
      <c r="AL61" s="52"/>
      <c r="AM61" s="57">
        <f t="shared" ref="AM61:AN61" si="72">AM60+1</f>
        <v>58</v>
      </c>
      <c r="AN61" s="57">
        <f t="shared" si="72"/>
        <v>58</v>
      </c>
      <c r="AO61" s="58"/>
      <c r="AP61" s="62">
        <f t="shared" si="13"/>
        <v>49</v>
      </c>
      <c r="AQ61" s="57"/>
      <c r="AR61" s="62"/>
      <c r="AS61" s="62">
        <f t="shared" si="14"/>
        <v>49</v>
      </c>
      <c r="AT61" s="231"/>
      <c r="AU61" s="57"/>
      <c r="AV61" s="58"/>
      <c r="AW61" s="62"/>
      <c r="AX61" s="62"/>
      <c r="AY61" s="97"/>
      <c r="AZ61" s="57">
        <f t="shared" ref="AZ61:BA61" si="73">AZ60+1</f>
        <v>10</v>
      </c>
      <c r="BA61" s="57">
        <f t="shared" si="73"/>
        <v>26</v>
      </c>
      <c r="BB61" s="57"/>
    </row>
    <row r="62" ht="15.75" customHeight="1">
      <c r="A62" s="64" t="s">
        <v>76</v>
      </c>
      <c r="B62" s="65">
        <f t="shared" si="2"/>
        <v>59</v>
      </c>
      <c r="C62" s="66">
        <f t="shared" si="3"/>
        <v>45817</v>
      </c>
      <c r="D62" s="72"/>
      <c r="E62" s="70"/>
      <c r="F62" s="70"/>
      <c r="G62" s="70"/>
      <c r="H62" s="70"/>
      <c r="I62" s="71"/>
      <c r="J62" s="71"/>
      <c r="K62" s="72"/>
      <c r="L62" s="72"/>
      <c r="M62" s="99"/>
      <c r="N62" s="70"/>
      <c r="O62" s="72"/>
      <c r="P62" s="72"/>
      <c r="Q62" s="131" t="s">
        <v>48</v>
      </c>
      <c r="R62" s="132"/>
      <c r="S62" s="72"/>
      <c r="T62" s="72"/>
      <c r="U62" s="205"/>
      <c r="V62" s="205"/>
      <c r="W62" s="205"/>
      <c r="X62" s="205">
        <f t="shared" si="55"/>
        <v>11</v>
      </c>
      <c r="Y62" s="72"/>
      <c r="Z62" s="72"/>
      <c r="AA62" s="72"/>
      <c r="AB62" s="72"/>
      <c r="AC62" s="72"/>
      <c r="AD62" s="72"/>
      <c r="AE62" s="72"/>
      <c r="AF62" s="72"/>
      <c r="AG62" s="70"/>
      <c r="AH62" s="70"/>
      <c r="AI62" s="70"/>
      <c r="AJ62" s="70"/>
      <c r="AK62" s="70"/>
      <c r="AL62" s="70"/>
      <c r="AM62" s="73">
        <f t="shared" ref="AM62:AN62" si="74">AM61+1</f>
        <v>59</v>
      </c>
      <c r="AN62" s="73">
        <f t="shared" si="74"/>
        <v>59</v>
      </c>
      <c r="AO62" s="74"/>
      <c r="AP62" s="78">
        <f t="shared" si="13"/>
        <v>50</v>
      </c>
      <c r="AQ62" s="73"/>
      <c r="AR62" s="78"/>
      <c r="AS62" s="78">
        <f t="shared" si="14"/>
        <v>50</v>
      </c>
      <c r="AT62" s="119"/>
      <c r="AU62" s="73"/>
      <c r="AV62" s="74"/>
      <c r="AW62" s="78"/>
      <c r="AX62" s="78"/>
      <c r="AY62" s="79"/>
      <c r="AZ62" s="73">
        <f t="shared" ref="AZ62:BA62" si="75">AZ61+1</f>
        <v>11</v>
      </c>
      <c r="BA62" s="73">
        <f t="shared" si="75"/>
        <v>27</v>
      </c>
      <c r="BB62" s="73"/>
    </row>
    <row r="63" ht="15.75" customHeight="1">
      <c r="A63" s="133">
        <f>C61</f>
        <v>45810</v>
      </c>
      <c r="B63" s="65">
        <f t="shared" si="2"/>
        <v>60</v>
      </c>
      <c r="C63" s="66">
        <f t="shared" si="3"/>
        <v>45824</v>
      </c>
      <c r="D63" s="70"/>
      <c r="E63" s="70"/>
      <c r="F63" s="70"/>
      <c r="G63" s="70"/>
      <c r="H63" s="70"/>
      <c r="I63" s="71"/>
      <c r="J63" s="71"/>
      <c r="K63" s="70"/>
      <c r="L63" s="70"/>
      <c r="M63" s="177" t="s">
        <v>59</v>
      </c>
      <c r="N63" s="70"/>
      <c r="O63" s="70"/>
      <c r="P63" s="70"/>
      <c r="Q63" s="131" t="s">
        <v>48</v>
      </c>
      <c r="R63" s="134"/>
      <c r="S63" s="70"/>
      <c r="T63" s="70"/>
      <c r="U63" s="205"/>
      <c r="V63" s="205"/>
      <c r="W63" s="205"/>
      <c r="X63" s="205">
        <f t="shared" si="55"/>
        <v>12</v>
      </c>
      <c r="Y63" s="72"/>
      <c r="Z63" s="72"/>
      <c r="AA63" s="72"/>
      <c r="AB63" s="72"/>
      <c r="AC63" s="72"/>
      <c r="AD63" s="72"/>
      <c r="AE63" s="72"/>
      <c r="AF63" s="72"/>
      <c r="AG63" s="70"/>
      <c r="AH63" s="70"/>
      <c r="AI63" s="70"/>
      <c r="AJ63" s="70"/>
      <c r="AK63" s="70"/>
      <c r="AL63" s="70"/>
      <c r="AM63" s="73">
        <f t="shared" ref="AM63:AN63" si="76">AM62+1</f>
        <v>60</v>
      </c>
      <c r="AN63" s="100">
        <f t="shared" si="76"/>
        <v>60</v>
      </c>
      <c r="AO63" s="74"/>
      <c r="AP63" s="78">
        <f t="shared" si="13"/>
        <v>51</v>
      </c>
      <c r="AQ63" s="73"/>
      <c r="AR63" s="78"/>
      <c r="AS63" s="78">
        <f t="shared" si="14"/>
        <v>51</v>
      </c>
      <c r="AT63" s="74"/>
      <c r="AU63" s="232"/>
      <c r="AV63" s="74"/>
      <c r="AW63" s="233">
        <f>AW40+1</f>
        <v>5</v>
      </c>
      <c r="AX63" s="78"/>
      <c r="AY63" s="79"/>
      <c r="AZ63" s="73">
        <f t="shared" ref="AZ63:BA63" si="77">AZ62+1</f>
        <v>12</v>
      </c>
      <c r="BA63" s="73">
        <f t="shared" si="77"/>
        <v>28</v>
      </c>
      <c r="BB63" s="73"/>
    </row>
    <row r="64" ht="15.75" customHeight="1">
      <c r="A64" s="64"/>
      <c r="B64" s="65">
        <f t="shared" si="2"/>
        <v>61</v>
      </c>
      <c r="C64" s="66">
        <f t="shared" si="3"/>
        <v>45831</v>
      </c>
      <c r="D64" s="70"/>
      <c r="E64" s="70"/>
      <c r="F64" s="70"/>
      <c r="G64" s="70"/>
      <c r="H64" s="70"/>
      <c r="I64" s="71"/>
      <c r="J64" s="71"/>
      <c r="K64" s="70"/>
      <c r="L64" s="70"/>
      <c r="M64" s="99"/>
      <c r="N64" s="70"/>
      <c r="O64" s="70"/>
      <c r="P64" s="184"/>
      <c r="Q64" s="131" t="s">
        <v>48</v>
      </c>
      <c r="R64" s="134"/>
      <c r="S64" s="70"/>
      <c r="T64" s="70"/>
      <c r="U64" s="188"/>
      <c r="V64" s="205"/>
      <c r="W64" s="205"/>
      <c r="X64" s="205">
        <f t="shared" si="55"/>
        <v>13</v>
      </c>
      <c r="Y64" s="70"/>
      <c r="Z64" s="70"/>
      <c r="AA64" s="70"/>
      <c r="AB64" s="70"/>
      <c r="AC64" s="70"/>
      <c r="AD64" s="70"/>
      <c r="AE64" s="70"/>
      <c r="AF64" s="70"/>
      <c r="AG64" s="70"/>
      <c r="AH64" s="70"/>
      <c r="AI64" s="70"/>
      <c r="AJ64" s="70"/>
      <c r="AK64" s="70"/>
      <c r="AL64" s="70"/>
      <c r="AM64" s="73">
        <f t="shared" ref="AM64:AN64" si="78">AM63+1</f>
        <v>61</v>
      </c>
      <c r="AN64" s="73">
        <f t="shared" si="78"/>
        <v>61</v>
      </c>
      <c r="AO64" s="74"/>
      <c r="AP64" s="78">
        <f t="shared" si="13"/>
        <v>52</v>
      </c>
      <c r="AQ64" s="73"/>
      <c r="AR64" s="78"/>
      <c r="AS64" s="78">
        <f t="shared" si="14"/>
        <v>52</v>
      </c>
      <c r="AT64" s="119"/>
      <c r="AU64" s="73"/>
      <c r="AV64" s="74"/>
      <c r="AW64" s="78"/>
      <c r="AX64" s="78"/>
      <c r="AY64" s="79"/>
      <c r="AZ64" s="73">
        <f t="shared" ref="AZ64:BA64" si="79">AZ63+1</f>
        <v>13</v>
      </c>
      <c r="BA64" s="73">
        <f t="shared" si="79"/>
        <v>29</v>
      </c>
      <c r="BB64" s="73"/>
    </row>
    <row r="65" ht="17.25" customHeight="1">
      <c r="A65" s="109"/>
      <c r="B65" s="82">
        <f t="shared" si="2"/>
        <v>62</v>
      </c>
      <c r="C65" s="83">
        <f t="shared" si="3"/>
        <v>45838</v>
      </c>
      <c r="D65" s="84"/>
      <c r="E65" s="86"/>
      <c r="F65" s="86"/>
      <c r="G65" s="86"/>
      <c r="H65" s="86"/>
      <c r="I65" s="87"/>
      <c r="J65" s="87"/>
      <c r="K65" s="84"/>
      <c r="L65" s="84"/>
      <c r="M65" s="88"/>
      <c r="N65" s="86"/>
      <c r="O65" s="84"/>
      <c r="P65" s="234"/>
      <c r="Q65" s="142" t="s">
        <v>48</v>
      </c>
      <c r="R65" s="143"/>
      <c r="S65" s="235"/>
      <c r="T65" s="236"/>
      <c r="U65" s="223"/>
      <c r="V65" s="210"/>
      <c r="W65" s="210"/>
      <c r="X65" s="210">
        <f t="shared" si="55"/>
        <v>14</v>
      </c>
      <c r="Y65" s="86"/>
      <c r="Z65" s="86"/>
      <c r="AA65" s="86"/>
      <c r="AB65" s="86"/>
      <c r="AC65" s="86"/>
      <c r="AD65" s="86"/>
      <c r="AE65" s="86"/>
      <c r="AF65" s="86"/>
      <c r="AG65" s="86"/>
      <c r="AH65" s="86"/>
      <c r="AI65" s="86"/>
      <c r="AJ65" s="86"/>
      <c r="AK65" s="86"/>
      <c r="AL65" s="86"/>
      <c r="AM65" s="89">
        <f t="shared" ref="AM65:AN65" si="80">AM64+1</f>
        <v>62</v>
      </c>
      <c r="AN65" s="89">
        <f t="shared" si="80"/>
        <v>62</v>
      </c>
      <c r="AO65" s="90"/>
      <c r="AP65" s="92">
        <f t="shared" si="13"/>
        <v>53</v>
      </c>
      <c r="AQ65" s="89"/>
      <c r="AR65" s="92"/>
      <c r="AS65" s="92">
        <f t="shared" si="14"/>
        <v>53</v>
      </c>
      <c r="AT65" s="182"/>
      <c r="AU65" s="89"/>
      <c r="AV65" s="90"/>
      <c r="AW65" s="92"/>
      <c r="AX65" s="92"/>
      <c r="AY65" s="93"/>
      <c r="AZ65" s="89">
        <f t="shared" ref="AZ65:BA65" si="81">AZ64+1</f>
        <v>14</v>
      </c>
      <c r="BA65" s="89">
        <f t="shared" si="81"/>
        <v>30</v>
      </c>
      <c r="BB65" s="89"/>
    </row>
    <row r="66" ht="16.5" customHeight="1">
      <c r="A66" s="46"/>
      <c r="B66" s="193">
        <f t="shared" si="2"/>
        <v>63</v>
      </c>
      <c r="C66" s="194">
        <f t="shared" si="3"/>
        <v>45845</v>
      </c>
      <c r="D66" s="195"/>
      <c r="E66" s="156"/>
      <c r="F66" s="156"/>
      <c r="G66" s="156"/>
      <c r="H66" s="156"/>
      <c r="I66" s="95"/>
      <c r="J66" s="95"/>
      <c r="K66" s="195"/>
      <c r="L66" s="195"/>
      <c r="M66" s="154"/>
      <c r="N66" s="156"/>
      <c r="O66" s="195"/>
      <c r="P66" s="154"/>
      <c r="Q66" s="157" t="s">
        <v>48</v>
      </c>
      <c r="R66" s="158"/>
      <c r="S66" s="156"/>
      <c r="T66" s="156"/>
      <c r="U66" s="200" t="s">
        <v>77</v>
      </c>
      <c r="V66" s="224"/>
      <c r="W66" s="224"/>
      <c r="X66" s="224">
        <f t="shared" si="55"/>
        <v>15</v>
      </c>
      <c r="Y66" s="195"/>
      <c r="Z66" s="195"/>
      <c r="AA66" s="195"/>
      <c r="AB66" s="195"/>
      <c r="AC66" s="195"/>
      <c r="AD66" s="195"/>
      <c r="AE66" s="195"/>
      <c r="AF66" s="195"/>
      <c r="AG66" s="156"/>
      <c r="AH66" s="156"/>
      <c r="AI66" s="156"/>
      <c r="AJ66" s="156"/>
      <c r="AK66" s="156"/>
      <c r="AL66" s="156"/>
      <c r="AM66" s="202">
        <f t="shared" ref="AM66:AN66" si="82">AM65+1</f>
        <v>63</v>
      </c>
      <c r="AN66" s="202">
        <f t="shared" si="82"/>
        <v>63</v>
      </c>
      <c r="AO66" s="162"/>
      <c r="AP66" s="163">
        <f t="shared" si="13"/>
        <v>54</v>
      </c>
      <c r="AQ66" s="202"/>
      <c r="AR66" s="163"/>
      <c r="AS66" s="163">
        <f t="shared" si="14"/>
        <v>54</v>
      </c>
      <c r="AT66" s="237"/>
      <c r="AU66" s="202"/>
      <c r="AV66" s="162"/>
      <c r="AW66" s="163"/>
      <c r="AX66" s="163"/>
      <c r="AY66" s="165"/>
      <c r="AZ66" s="202">
        <f t="shared" ref="AZ66:BA66" si="83">AZ65+1</f>
        <v>15</v>
      </c>
      <c r="BA66" s="202">
        <f t="shared" si="83"/>
        <v>31</v>
      </c>
      <c r="BB66" s="202"/>
    </row>
    <row r="67" ht="15.75" customHeight="1">
      <c r="A67" s="64" t="s">
        <v>78</v>
      </c>
      <c r="B67" s="65">
        <f t="shared" si="2"/>
        <v>64</v>
      </c>
      <c r="C67" s="66">
        <f t="shared" si="3"/>
        <v>45852</v>
      </c>
      <c r="D67" s="70"/>
      <c r="E67" s="70"/>
      <c r="F67" s="70"/>
      <c r="G67" s="70"/>
      <c r="H67" s="70"/>
      <c r="I67" s="71"/>
      <c r="J67" s="71"/>
      <c r="K67" s="70"/>
      <c r="L67" s="70"/>
      <c r="M67" s="238"/>
      <c r="N67" s="70"/>
      <c r="O67" s="70"/>
      <c r="P67" s="70"/>
      <c r="Q67" s="131" t="s">
        <v>48</v>
      </c>
      <c r="R67" s="134"/>
      <c r="S67" s="70"/>
      <c r="T67" s="70"/>
      <c r="U67" s="188"/>
      <c r="V67" s="205"/>
      <c r="W67" s="205"/>
      <c r="X67" s="205">
        <f t="shared" si="55"/>
        <v>16</v>
      </c>
      <c r="Y67" s="72"/>
      <c r="Z67" s="239" t="s">
        <v>79</v>
      </c>
      <c r="AA67" s="72"/>
      <c r="AB67" s="72"/>
      <c r="AC67" s="72"/>
      <c r="AD67" s="240" t="s">
        <v>80</v>
      </c>
      <c r="AE67" s="72"/>
      <c r="AF67" s="72"/>
      <c r="AG67" s="70"/>
      <c r="AH67" s="70"/>
      <c r="AI67" s="70"/>
      <c r="AJ67" s="70"/>
      <c r="AK67" s="70"/>
      <c r="AL67" s="70"/>
      <c r="AM67" s="73">
        <f t="shared" ref="AM67:AN67" si="84">AM66+1</f>
        <v>64</v>
      </c>
      <c r="AN67" s="100">
        <f t="shared" si="84"/>
        <v>64</v>
      </c>
      <c r="AO67" s="74"/>
      <c r="AP67" s="78">
        <f t="shared" si="13"/>
        <v>55</v>
      </c>
      <c r="AQ67" s="73"/>
      <c r="AR67" s="78"/>
      <c r="AS67" s="78">
        <f t="shared" si="14"/>
        <v>55</v>
      </c>
      <c r="AT67" s="241"/>
      <c r="AU67" s="242"/>
      <c r="AV67" s="74"/>
      <c r="AW67" s="233"/>
      <c r="AX67" s="78"/>
      <c r="AY67" s="79"/>
      <c r="AZ67" s="73">
        <f t="shared" ref="AZ67:BA67" si="85">AZ66+1</f>
        <v>16</v>
      </c>
      <c r="BA67" s="73">
        <f t="shared" si="85"/>
        <v>32</v>
      </c>
      <c r="BB67" s="73"/>
    </row>
    <row r="68" ht="15.75" customHeight="1">
      <c r="A68" s="133">
        <f>C66</f>
        <v>45845</v>
      </c>
      <c r="B68" s="65">
        <f t="shared" si="2"/>
        <v>65</v>
      </c>
      <c r="C68" s="66">
        <f t="shared" si="3"/>
        <v>45859</v>
      </c>
      <c r="D68" s="70"/>
      <c r="E68" s="70"/>
      <c r="F68" s="70"/>
      <c r="G68" s="70"/>
      <c r="H68" s="70"/>
      <c r="I68" s="71"/>
      <c r="J68" s="71"/>
      <c r="K68" s="70"/>
      <c r="L68" s="70"/>
      <c r="M68" s="99"/>
      <c r="N68" s="70"/>
      <c r="O68" s="70"/>
      <c r="P68" s="184"/>
      <c r="Q68" s="131" t="s">
        <v>48</v>
      </c>
      <c r="R68" s="134"/>
      <c r="S68" s="70"/>
      <c r="T68" s="70"/>
      <c r="U68" s="188"/>
      <c r="V68" s="205"/>
      <c r="W68" s="205"/>
      <c r="X68" s="205">
        <f t="shared" si="55"/>
        <v>17</v>
      </c>
      <c r="Y68" s="72"/>
      <c r="Z68" s="239" t="s">
        <v>81</v>
      </c>
      <c r="AA68" s="130"/>
      <c r="AB68" s="130"/>
      <c r="AC68" s="72"/>
      <c r="AD68" s="240" t="s">
        <v>81</v>
      </c>
      <c r="AE68" s="72"/>
      <c r="AF68" s="72"/>
      <c r="AG68" s="70"/>
      <c r="AH68" s="70"/>
      <c r="AI68" s="70"/>
      <c r="AJ68" s="70"/>
      <c r="AK68" s="70"/>
      <c r="AL68" s="70"/>
      <c r="AM68" s="73">
        <f t="shared" ref="AM68:AN68" si="86">AM67+1</f>
        <v>65</v>
      </c>
      <c r="AN68" s="73">
        <f t="shared" si="86"/>
        <v>65</v>
      </c>
      <c r="AO68" s="74"/>
      <c r="AP68" s="78">
        <f t="shared" si="13"/>
        <v>56</v>
      </c>
      <c r="AQ68" s="73"/>
      <c r="AR68" s="78"/>
      <c r="AS68" s="78">
        <f t="shared" si="14"/>
        <v>56</v>
      </c>
      <c r="AT68" s="119"/>
      <c r="AU68" s="73"/>
      <c r="AV68" s="74"/>
      <c r="AW68" s="78"/>
      <c r="AX68" s="78"/>
      <c r="AY68" s="79"/>
      <c r="AZ68" s="73">
        <f t="shared" ref="AZ68:BA68" si="87">AZ67+1</f>
        <v>17</v>
      </c>
      <c r="BA68" s="73">
        <f t="shared" si="87"/>
        <v>33</v>
      </c>
      <c r="BB68" s="73"/>
    </row>
    <row r="69" ht="18.75" customHeight="1">
      <c r="A69" s="109"/>
      <c r="B69" s="82">
        <f t="shared" si="2"/>
        <v>66</v>
      </c>
      <c r="C69" s="83">
        <f t="shared" si="3"/>
        <v>45866</v>
      </c>
      <c r="D69" s="84"/>
      <c r="E69" s="86"/>
      <c r="F69" s="86"/>
      <c r="G69" s="86"/>
      <c r="H69" s="86"/>
      <c r="I69" s="87"/>
      <c r="J69" s="87"/>
      <c r="K69" s="84"/>
      <c r="L69" s="84"/>
      <c r="M69" s="88"/>
      <c r="N69" s="86"/>
      <c r="O69" s="84"/>
      <c r="P69" s="243"/>
      <c r="Q69" s="142" t="s">
        <v>48</v>
      </c>
      <c r="R69" s="172"/>
      <c r="S69" s="86"/>
      <c r="T69" s="244"/>
      <c r="U69" s="210"/>
      <c r="V69" s="210"/>
      <c r="W69" s="210"/>
      <c r="X69" s="210">
        <f t="shared" si="55"/>
        <v>18</v>
      </c>
      <c r="Y69" s="84"/>
      <c r="Z69" s="245"/>
      <c r="AA69" s="245"/>
      <c r="AB69" s="245"/>
      <c r="AC69" s="84"/>
      <c r="AD69" s="245"/>
      <c r="AE69" s="245"/>
      <c r="AF69" s="245"/>
      <c r="AG69" s="86"/>
      <c r="AH69" s="86"/>
      <c r="AI69" s="86"/>
      <c r="AJ69" s="86"/>
      <c r="AK69" s="86"/>
      <c r="AL69" s="86"/>
      <c r="AM69" s="89">
        <f t="shared" ref="AM69:AN69" si="88">AM68+1</f>
        <v>66</v>
      </c>
      <c r="AN69" s="89">
        <f t="shared" si="88"/>
        <v>66</v>
      </c>
      <c r="AO69" s="90"/>
      <c r="AP69" s="92">
        <f t="shared" si="13"/>
        <v>57</v>
      </c>
      <c r="AQ69" s="89"/>
      <c r="AR69" s="92"/>
      <c r="AS69" s="92">
        <f t="shared" si="14"/>
        <v>57</v>
      </c>
      <c r="AT69" s="182"/>
      <c r="AU69" s="89"/>
      <c r="AV69" s="90"/>
      <c r="AW69" s="92"/>
      <c r="AX69" s="92"/>
      <c r="AY69" s="93"/>
      <c r="AZ69" s="89">
        <f t="shared" ref="AZ69:BA69" si="89">AZ68+1</f>
        <v>18</v>
      </c>
      <c r="BA69" s="89">
        <f t="shared" si="89"/>
        <v>34</v>
      </c>
      <c r="BB69" s="89"/>
    </row>
    <row r="70" ht="18.75" customHeight="1">
      <c r="A70" s="46"/>
      <c r="B70" s="47">
        <f t="shared" si="2"/>
        <v>67</v>
      </c>
      <c r="C70" s="94">
        <f t="shared" si="3"/>
        <v>45873</v>
      </c>
      <c r="D70" s="56"/>
      <c r="E70" s="156"/>
      <c r="F70" s="156"/>
      <c r="G70" s="156"/>
      <c r="H70" s="156"/>
      <c r="I70" s="95"/>
      <c r="J70" s="95"/>
      <c r="K70" s="195"/>
      <c r="L70" s="195"/>
      <c r="M70" s="154"/>
      <c r="N70" s="156"/>
      <c r="O70" s="195"/>
      <c r="P70" s="246"/>
      <c r="Q70" s="157" t="s">
        <v>48</v>
      </c>
      <c r="R70" s="158"/>
      <c r="S70" s="246"/>
      <c r="T70" s="246"/>
      <c r="U70" s="200"/>
      <c r="V70" s="224"/>
      <c r="W70" s="224"/>
      <c r="X70" s="224">
        <f t="shared" si="55"/>
        <v>19</v>
      </c>
      <c r="Y70" s="156"/>
      <c r="Z70" s="208"/>
      <c r="AA70" s="208"/>
      <c r="AB70" s="208"/>
      <c r="AC70" s="156"/>
      <c r="AD70" s="208"/>
      <c r="AE70" s="208"/>
      <c r="AF70" s="208"/>
      <c r="AG70" s="156"/>
      <c r="AH70" s="156"/>
      <c r="AI70" s="156"/>
      <c r="AJ70" s="156"/>
      <c r="AK70" s="156"/>
      <c r="AL70" s="156"/>
      <c r="AM70" s="202">
        <f t="shared" ref="AM70:AN70" si="90">AM69+1</f>
        <v>67</v>
      </c>
      <c r="AN70" s="202">
        <f t="shared" si="90"/>
        <v>67</v>
      </c>
      <c r="AO70" s="162"/>
      <c r="AP70" s="163">
        <f t="shared" si="13"/>
        <v>58</v>
      </c>
      <c r="AQ70" s="202"/>
      <c r="AR70" s="163"/>
      <c r="AS70" s="163">
        <f t="shared" si="14"/>
        <v>58</v>
      </c>
      <c r="AT70" s="237"/>
      <c r="AU70" s="202"/>
      <c r="AV70" s="162"/>
      <c r="AW70" s="163"/>
      <c r="AX70" s="163"/>
      <c r="AY70" s="165"/>
      <c r="AZ70" s="202">
        <f t="shared" ref="AZ70:BA70" si="91">AZ69+1</f>
        <v>19</v>
      </c>
      <c r="BA70" s="202">
        <f t="shared" si="91"/>
        <v>35</v>
      </c>
      <c r="BB70" s="202"/>
    </row>
    <row r="71" ht="15.75" customHeight="1">
      <c r="A71" s="64" t="s">
        <v>82</v>
      </c>
      <c r="B71" s="65">
        <f t="shared" si="2"/>
        <v>68</v>
      </c>
      <c r="C71" s="66">
        <f t="shared" si="3"/>
        <v>45880</v>
      </c>
      <c r="D71" s="70"/>
      <c r="E71" s="70"/>
      <c r="F71" s="70"/>
      <c r="G71" s="70"/>
      <c r="H71" s="70"/>
      <c r="I71" s="71"/>
      <c r="J71" s="71"/>
      <c r="K71" s="70"/>
      <c r="L71" s="70"/>
      <c r="M71" s="238"/>
      <c r="N71" s="70"/>
      <c r="O71" s="70"/>
      <c r="P71" s="99"/>
      <c r="Q71" s="131" t="s">
        <v>48</v>
      </c>
      <c r="R71" s="134"/>
      <c r="S71" s="70"/>
      <c r="T71" s="70"/>
      <c r="U71" s="188"/>
      <c r="V71" s="205"/>
      <c r="W71" s="205"/>
      <c r="X71" s="205">
        <f t="shared" si="55"/>
        <v>20</v>
      </c>
      <c r="Y71" s="72"/>
      <c r="Z71" s="130"/>
      <c r="AA71" s="130"/>
      <c r="AB71" s="130"/>
      <c r="AC71" s="72"/>
      <c r="AD71" s="130"/>
      <c r="AE71" s="130"/>
      <c r="AF71" s="130"/>
      <c r="AG71" s="70"/>
      <c r="AH71" s="70"/>
      <c r="AI71" s="70"/>
      <c r="AJ71" s="70"/>
      <c r="AK71" s="70"/>
      <c r="AL71" s="70"/>
      <c r="AM71" s="73">
        <f t="shared" ref="AM71:AN71" si="92">AM70+1</f>
        <v>68</v>
      </c>
      <c r="AN71" s="100">
        <f t="shared" si="92"/>
        <v>68</v>
      </c>
      <c r="AO71" s="74"/>
      <c r="AP71" s="78">
        <f t="shared" si="13"/>
        <v>59</v>
      </c>
      <c r="AQ71" s="73"/>
      <c r="AR71" s="78"/>
      <c r="AS71" s="78">
        <f t="shared" si="14"/>
        <v>59</v>
      </c>
      <c r="AT71" s="119"/>
      <c r="AU71" s="73"/>
      <c r="AV71" s="74"/>
      <c r="AW71" s="78"/>
      <c r="AX71" s="78"/>
      <c r="AY71" s="79"/>
      <c r="AZ71" s="73">
        <f t="shared" ref="AZ71:BA71" si="93">AZ70+1</f>
        <v>20</v>
      </c>
      <c r="BA71" s="73">
        <f t="shared" si="93"/>
        <v>36</v>
      </c>
      <c r="BB71" s="73"/>
    </row>
    <row r="72" ht="15.75" customHeight="1">
      <c r="A72" s="133">
        <f>C70</f>
        <v>45873</v>
      </c>
      <c r="B72" s="65">
        <f t="shared" si="2"/>
        <v>69</v>
      </c>
      <c r="C72" s="66">
        <f t="shared" si="3"/>
        <v>45887</v>
      </c>
      <c r="D72" s="70"/>
      <c r="E72" s="70"/>
      <c r="F72" s="70"/>
      <c r="G72" s="70"/>
      <c r="H72" s="70"/>
      <c r="I72" s="71" t="s">
        <v>83</v>
      </c>
      <c r="J72" s="71"/>
      <c r="K72" s="70"/>
      <c r="L72" s="70"/>
      <c r="M72" s="99"/>
      <c r="N72" s="70"/>
      <c r="O72" s="70"/>
      <c r="P72" s="70"/>
      <c r="Q72" s="131" t="s">
        <v>48</v>
      </c>
      <c r="R72" s="134"/>
      <c r="S72" s="70"/>
      <c r="T72" s="70"/>
      <c r="U72" s="188" t="s">
        <v>84</v>
      </c>
      <c r="V72" s="205"/>
      <c r="W72" s="205"/>
      <c r="X72" s="205">
        <f t="shared" si="55"/>
        <v>21</v>
      </c>
      <c r="Y72" s="72"/>
      <c r="Z72" s="130"/>
      <c r="AA72" s="130"/>
      <c r="AB72" s="130"/>
      <c r="AC72" s="72"/>
      <c r="AD72" s="130"/>
      <c r="AE72" s="130"/>
      <c r="AF72" s="130"/>
      <c r="AG72" s="70"/>
      <c r="AH72" s="70"/>
      <c r="AI72" s="70"/>
      <c r="AJ72" s="70"/>
      <c r="AK72" s="70"/>
      <c r="AL72" s="70"/>
      <c r="AM72" s="73">
        <f t="shared" ref="AM72:AN72" si="94">AM71+1</f>
        <v>69</v>
      </c>
      <c r="AN72" s="73">
        <f t="shared" si="94"/>
        <v>69</v>
      </c>
      <c r="AO72" s="74"/>
      <c r="AP72" s="78">
        <f t="shared" si="13"/>
        <v>60</v>
      </c>
      <c r="AQ72" s="73"/>
      <c r="AR72" s="78"/>
      <c r="AS72" s="78">
        <f t="shared" si="14"/>
        <v>60</v>
      </c>
      <c r="AT72" s="119"/>
      <c r="AU72" s="73"/>
      <c r="AV72" s="74"/>
      <c r="AW72" s="78"/>
      <c r="AX72" s="78"/>
      <c r="AY72" s="79"/>
      <c r="AZ72" s="73">
        <f t="shared" ref="AZ72:BA72" si="95">AZ71+1</f>
        <v>21</v>
      </c>
      <c r="BA72" s="73">
        <f t="shared" si="95"/>
        <v>37</v>
      </c>
      <c r="BB72" s="73"/>
    </row>
    <row r="73" ht="15.75" customHeight="1">
      <c r="A73" s="109"/>
      <c r="B73" s="82">
        <f t="shared" si="2"/>
        <v>70</v>
      </c>
      <c r="C73" s="83">
        <f t="shared" si="3"/>
        <v>45894</v>
      </c>
      <c r="D73" s="84"/>
      <c r="E73" s="247"/>
      <c r="F73" s="247"/>
      <c r="G73" s="247"/>
      <c r="H73" s="247"/>
      <c r="I73" s="248" t="s">
        <v>84</v>
      </c>
      <c r="J73" s="87"/>
      <c r="K73" s="84"/>
      <c r="L73" s="84"/>
      <c r="M73" s="88"/>
      <c r="N73" s="86"/>
      <c r="O73" s="86"/>
      <c r="P73" s="88"/>
      <c r="Q73" s="142" t="s">
        <v>48</v>
      </c>
      <c r="R73" s="172"/>
      <c r="S73" s="86"/>
      <c r="T73" s="86"/>
      <c r="U73" s="223"/>
      <c r="V73" s="210"/>
      <c r="W73" s="210"/>
      <c r="X73" s="210">
        <f t="shared" si="55"/>
        <v>22</v>
      </c>
      <c r="Y73" s="84"/>
      <c r="Z73" s="249" t="s">
        <v>85</v>
      </c>
      <c r="AA73" s="216"/>
      <c r="AB73" s="84"/>
      <c r="AC73" s="84"/>
      <c r="AD73" s="250" t="s">
        <v>86</v>
      </c>
      <c r="AE73" s="88"/>
      <c r="AF73" s="251"/>
      <c r="AG73" s="247"/>
      <c r="AH73" s="247"/>
      <c r="AI73" s="247"/>
      <c r="AJ73" s="247"/>
      <c r="AK73" s="247"/>
      <c r="AL73" s="247"/>
      <c r="AM73" s="89">
        <f t="shared" ref="AM73:AN73" si="96">AM72+1</f>
        <v>70</v>
      </c>
      <c r="AN73" s="89">
        <f t="shared" si="96"/>
        <v>70</v>
      </c>
      <c r="AO73" s="90"/>
      <c r="AP73" s="92">
        <f t="shared" si="13"/>
        <v>61</v>
      </c>
      <c r="AQ73" s="89"/>
      <c r="AR73" s="92"/>
      <c r="AS73" s="92">
        <f t="shared" si="14"/>
        <v>61</v>
      </c>
      <c r="AT73" s="182"/>
      <c r="AU73" s="89"/>
      <c r="AV73" s="90"/>
      <c r="AW73" s="92"/>
      <c r="AX73" s="92"/>
      <c r="AY73" s="93"/>
      <c r="AZ73" s="89">
        <f t="shared" ref="AZ73:BA73" si="97">AZ72+1</f>
        <v>22</v>
      </c>
      <c r="BA73" s="89">
        <f t="shared" si="97"/>
        <v>38</v>
      </c>
      <c r="BB73" s="89"/>
    </row>
    <row r="74" ht="19.5" customHeight="1">
      <c r="A74" s="46"/>
      <c r="B74" s="47">
        <f t="shared" si="2"/>
        <v>71</v>
      </c>
      <c r="C74" s="94">
        <f t="shared" si="3"/>
        <v>45901</v>
      </c>
      <c r="D74" s="56"/>
      <c r="E74" s="252"/>
      <c r="F74" s="196"/>
      <c r="G74" s="156"/>
      <c r="H74" s="156"/>
      <c r="I74" s="95"/>
      <c r="J74" s="95"/>
      <c r="K74" s="195"/>
      <c r="L74" s="195"/>
      <c r="M74" s="154"/>
      <c r="N74" s="156"/>
      <c r="O74" s="156"/>
      <c r="P74" s="246"/>
      <c r="Q74" s="246"/>
      <c r="R74" s="246"/>
      <c r="S74" s="246"/>
      <c r="T74" s="246"/>
      <c r="U74" s="253"/>
      <c r="V74" s="224"/>
      <c r="W74" s="224"/>
      <c r="X74" s="224">
        <f t="shared" si="55"/>
        <v>23</v>
      </c>
      <c r="Y74" s="156"/>
      <c r="Z74" s="254" t="s">
        <v>87</v>
      </c>
      <c r="AA74" s="154"/>
      <c r="AB74" s="156"/>
      <c r="AC74" s="156"/>
      <c r="AD74" s="255" t="s">
        <v>88</v>
      </c>
      <c r="AE74" s="256"/>
      <c r="AF74" s="257"/>
      <c r="AG74" s="156"/>
      <c r="AH74" s="156"/>
      <c r="AI74" s="258" t="s">
        <v>89</v>
      </c>
      <c r="AK74" s="156"/>
      <c r="AL74" s="156"/>
      <c r="AM74" s="202">
        <f t="shared" ref="AM74:AN74" si="98">AM73+1</f>
        <v>71</v>
      </c>
      <c r="AN74" s="202">
        <f t="shared" si="98"/>
        <v>71</v>
      </c>
      <c r="AO74" s="162"/>
      <c r="AP74" s="163">
        <f t="shared" si="13"/>
        <v>62</v>
      </c>
      <c r="AQ74" s="202"/>
      <c r="AR74" s="163"/>
      <c r="AS74" s="163">
        <f t="shared" si="14"/>
        <v>62</v>
      </c>
      <c r="AT74" s="237"/>
      <c r="AU74" s="202"/>
      <c r="AV74" s="162"/>
      <c r="AW74" s="163"/>
      <c r="AX74" s="163"/>
      <c r="AY74" s="165"/>
      <c r="AZ74" s="202">
        <f t="shared" ref="AZ74:BA74" si="99">AZ73+1</f>
        <v>23</v>
      </c>
      <c r="BA74" s="202">
        <f t="shared" si="99"/>
        <v>39</v>
      </c>
      <c r="BB74" s="202"/>
    </row>
    <row r="75" ht="15.75" customHeight="1">
      <c r="A75" s="64" t="s">
        <v>90</v>
      </c>
      <c r="B75" s="65">
        <f t="shared" si="2"/>
        <v>72</v>
      </c>
      <c r="C75" s="66">
        <f t="shared" si="3"/>
        <v>45908</v>
      </c>
      <c r="D75" s="72"/>
      <c r="E75" s="68"/>
      <c r="F75" s="69"/>
      <c r="G75" s="70"/>
      <c r="H75" s="70"/>
      <c r="I75" s="71"/>
      <c r="J75" s="71"/>
      <c r="K75" s="72"/>
      <c r="L75" s="72"/>
      <c r="M75" s="177" t="s">
        <v>59</v>
      </c>
      <c r="N75" s="70"/>
      <c r="O75" s="70"/>
      <c r="P75" s="184"/>
      <c r="Q75" s="184"/>
      <c r="R75" s="184"/>
      <c r="S75" s="184"/>
      <c r="T75" s="184"/>
      <c r="U75" s="188"/>
      <c r="V75" s="259"/>
      <c r="W75" s="259"/>
      <c r="X75" s="205">
        <f t="shared" si="55"/>
        <v>24</v>
      </c>
      <c r="Y75" s="99"/>
      <c r="Z75" s="239" t="s">
        <v>91</v>
      </c>
      <c r="AA75" s="99"/>
      <c r="AB75" s="70"/>
      <c r="AC75" s="70"/>
      <c r="AD75" s="260" t="s">
        <v>92</v>
      </c>
      <c r="AE75" s="184"/>
      <c r="AF75" s="70"/>
      <c r="AG75" s="70"/>
      <c r="AH75" s="70"/>
      <c r="AI75" s="261" t="s">
        <v>93</v>
      </c>
      <c r="AJ75" s="262"/>
      <c r="AK75" s="70"/>
      <c r="AL75" s="70"/>
      <c r="AM75" s="73">
        <f t="shared" ref="AM75:AN75" si="100">AM74+1</f>
        <v>72</v>
      </c>
      <c r="AN75" s="73">
        <f t="shared" si="100"/>
        <v>72</v>
      </c>
      <c r="AO75" s="74"/>
      <c r="AP75" s="78">
        <f t="shared" si="13"/>
        <v>63</v>
      </c>
      <c r="AQ75" s="73"/>
      <c r="AR75" s="78"/>
      <c r="AS75" s="78">
        <f t="shared" si="14"/>
        <v>63</v>
      </c>
      <c r="AT75" s="119"/>
      <c r="AU75" s="73"/>
      <c r="AV75" s="74"/>
      <c r="AW75" s="78">
        <f>AW63+1</f>
        <v>6</v>
      </c>
      <c r="AX75" s="78"/>
      <c r="AY75" s="79"/>
      <c r="AZ75" s="73">
        <f t="shared" ref="AZ75:BA75" si="101">AZ74+1</f>
        <v>24</v>
      </c>
      <c r="BA75" s="73">
        <f t="shared" si="101"/>
        <v>40</v>
      </c>
      <c r="BB75" s="73"/>
    </row>
    <row r="76" ht="15.75" customHeight="1">
      <c r="A76" s="133">
        <f>C74</f>
        <v>45901</v>
      </c>
      <c r="B76" s="65">
        <f t="shared" si="2"/>
        <v>73</v>
      </c>
      <c r="C76" s="66">
        <f t="shared" si="3"/>
        <v>45915</v>
      </c>
      <c r="D76" s="70"/>
      <c r="E76" s="68"/>
      <c r="F76" s="69"/>
      <c r="G76" s="70"/>
      <c r="H76" s="70"/>
      <c r="I76" s="71" t="s">
        <v>83</v>
      </c>
      <c r="J76" s="71"/>
      <c r="K76" s="70"/>
      <c r="L76" s="70"/>
      <c r="M76" s="99"/>
      <c r="N76" s="70"/>
      <c r="O76" s="70"/>
      <c r="P76" s="184"/>
      <c r="Q76" s="184"/>
      <c r="R76" s="184"/>
      <c r="S76" s="184"/>
      <c r="T76" s="184"/>
      <c r="U76" s="188"/>
      <c r="V76" s="185"/>
      <c r="W76" s="205"/>
      <c r="X76" s="205">
        <f t="shared" si="55"/>
        <v>25</v>
      </c>
      <c r="Y76" s="99"/>
      <c r="Z76" s="239"/>
      <c r="AA76" s="99"/>
      <c r="AB76" s="72"/>
      <c r="AC76" s="72"/>
      <c r="AD76" s="240"/>
      <c r="AE76" s="184"/>
      <c r="AF76" s="72"/>
      <c r="AG76" s="70"/>
      <c r="AH76" s="70"/>
      <c r="AI76" s="70"/>
      <c r="AJ76" s="70"/>
      <c r="AK76" s="70"/>
      <c r="AL76" s="70"/>
      <c r="AM76" s="73">
        <f t="shared" ref="AM76:AN76" si="102">AM75+1</f>
        <v>73</v>
      </c>
      <c r="AN76" s="100">
        <f t="shared" si="102"/>
        <v>73</v>
      </c>
      <c r="AO76" s="74"/>
      <c r="AP76" s="78">
        <f t="shared" si="13"/>
        <v>64</v>
      </c>
      <c r="AQ76" s="73"/>
      <c r="AR76" s="78"/>
      <c r="AS76" s="78">
        <f t="shared" si="14"/>
        <v>64</v>
      </c>
      <c r="AT76" s="119"/>
      <c r="AU76" s="73"/>
      <c r="AV76" s="74"/>
      <c r="AW76" s="78"/>
      <c r="AX76" s="78"/>
      <c r="AY76" s="79"/>
      <c r="AZ76" s="73">
        <f t="shared" ref="AZ76:BA76" si="103">AZ75+1</f>
        <v>25</v>
      </c>
      <c r="BA76" s="73">
        <f t="shared" si="103"/>
        <v>41</v>
      </c>
      <c r="BB76" s="73"/>
    </row>
    <row r="77" ht="15.75" customHeight="1">
      <c r="A77" s="64"/>
      <c r="B77" s="65">
        <f t="shared" si="2"/>
        <v>74</v>
      </c>
      <c r="C77" s="66">
        <f t="shared" si="3"/>
        <v>45922</v>
      </c>
      <c r="D77" s="70"/>
      <c r="E77" s="68"/>
      <c r="F77" s="68"/>
      <c r="G77" s="263"/>
      <c r="H77" s="263"/>
      <c r="I77" s="264" t="s">
        <v>94</v>
      </c>
      <c r="J77" s="71"/>
      <c r="K77" s="70"/>
      <c r="L77" s="70"/>
      <c r="M77" s="99"/>
      <c r="N77" s="70"/>
      <c r="O77" s="70"/>
      <c r="P77" s="265"/>
      <c r="Q77" s="99"/>
      <c r="R77" s="99"/>
      <c r="S77" s="99"/>
      <c r="T77" s="99"/>
      <c r="U77" s="185"/>
      <c r="V77" s="185"/>
      <c r="W77" s="205"/>
      <c r="X77" s="205">
        <f t="shared" si="55"/>
        <v>26</v>
      </c>
      <c r="Y77" s="99"/>
      <c r="Z77" s="266" t="s">
        <v>95</v>
      </c>
      <c r="AA77" s="239"/>
      <c r="AB77" s="239"/>
      <c r="AC77" s="70"/>
      <c r="AD77" s="260" t="s">
        <v>96</v>
      </c>
      <c r="AE77" s="240"/>
      <c r="AF77" s="267"/>
      <c r="AG77" s="268"/>
      <c r="AH77" s="263"/>
      <c r="AI77" s="263"/>
      <c r="AJ77" s="263"/>
      <c r="AK77" s="263"/>
      <c r="AL77" s="263"/>
      <c r="AM77" s="73">
        <f t="shared" ref="AM77:AN77" si="104">AM76+1</f>
        <v>74</v>
      </c>
      <c r="AN77" s="73">
        <f t="shared" si="104"/>
        <v>74</v>
      </c>
      <c r="AO77" s="74"/>
      <c r="AP77" s="78">
        <f t="shared" si="13"/>
        <v>65</v>
      </c>
      <c r="AQ77" s="73"/>
      <c r="AR77" s="78"/>
      <c r="AS77" s="78">
        <f t="shared" si="14"/>
        <v>65</v>
      </c>
      <c r="AT77" s="119"/>
      <c r="AU77" s="73"/>
      <c r="AV77" s="74"/>
      <c r="AW77" s="78"/>
      <c r="AX77" s="78"/>
      <c r="AY77" s="79"/>
      <c r="AZ77" s="73">
        <f t="shared" ref="AZ77:BA77" si="105">AZ76+1</f>
        <v>26</v>
      </c>
      <c r="BA77" s="73">
        <f t="shared" si="105"/>
        <v>42</v>
      </c>
      <c r="BB77" s="73"/>
    </row>
    <row r="78" ht="15.75" customHeight="1">
      <c r="A78" s="269"/>
      <c r="B78" s="136">
        <f t="shared" si="2"/>
        <v>75</v>
      </c>
      <c r="C78" s="137">
        <f t="shared" si="3"/>
        <v>45929</v>
      </c>
      <c r="D78" s="138"/>
      <c r="E78" s="140"/>
      <c r="F78" s="140"/>
      <c r="G78" s="88"/>
      <c r="H78" s="88"/>
      <c r="I78" s="87"/>
      <c r="J78" s="87"/>
      <c r="K78" s="138"/>
      <c r="L78" s="138"/>
      <c r="M78" s="88"/>
      <c r="N78" s="86"/>
      <c r="O78" s="86"/>
      <c r="P78" s="86"/>
      <c r="Q78" s="86"/>
      <c r="R78" s="86"/>
      <c r="S78" s="86"/>
      <c r="T78" s="86"/>
      <c r="U78" s="223" t="s">
        <v>94</v>
      </c>
      <c r="V78" s="210"/>
      <c r="W78" s="210"/>
      <c r="X78" s="210">
        <f t="shared" si="55"/>
        <v>27</v>
      </c>
      <c r="Y78" s="88"/>
      <c r="Z78" s="249"/>
      <c r="AA78" s="88"/>
      <c r="AB78" s="86"/>
      <c r="AC78" s="86"/>
      <c r="AD78" s="270"/>
      <c r="AE78" s="245"/>
      <c r="AF78" s="245"/>
      <c r="AG78" s="145"/>
      <c r="AH78" s="145"/>
      <c r="AI78" s="145"/>
      <c r="AJ78" s="145"/>
      <c r="AK78" s="88"/>
      <c r="AL78" s="86"/>
      <c r="AM78" s="146">
        <f t="shared" ref="AM78:AN78" si="106">AM77+1</f>
        <v>75</v>
      </c>
      <c r="AN78" s="146">
        <f t="shared" si="106"/>
        <v>75</v>
      </c>
      <c r="AO78" s="90"/>
      <c r="AP78" s="147">
        <f t="shared" si="13"/>
        <v>66</v>
      </c>
      <c r="AQ78" s="146"/>
      <c r="AR78" s="92"/>
      <c r="AS78" s="92">
        <f t="shared" si="14"/>
        <v>66</v>
      </c>
      <c r="AT78" s="182"/>
      <c r="AU78" s="146"/>
      <c r="AV78" s="90"/>
      <c r="AW78" s="147"/>
      <c r="AX78" s="92"/>
      <c r="AY78" s="93"/>
      <c r="AZ78" s="89">
        <f t="shared" ref="AZ78:BA78" si="107">AZ77+1</f>
        <v>27</v>
      </c>
      <c r="BA78" s="89">
        <f t="shared" si="107"/>
        <v>43</v>
      </c>
      <c r="BB78" s="146"/>
    </row>
    <row r="79" ht="15.75" customHeight="1">
      <c r="A79" s="148"/>
      <c r="B79" s="149">
        <f t="shared" si="2"/>
        <v>76</v>
      </c>
      <c r="C79" s="150">
        <f t="shared" si="3"/>
        <v>45936</v>
      </c>
      <c r="D79" s="151"/>
      <c r="E79" s="153"/>
      <c r="F79" s="153"/>
      <c r="G79" s="154"/>
      <c r="H79" s="154"/>
      <c r="I79" s="95"/>
      <c r="J79" s="95"/>
      <c r="K79" s="151"/>
      <c r="L79" s="151"/>
      <c r="M79" s="271"/>
      <c r="N79" s="156"/>
      <c r="O79" s="156"/>
      <c r="P79" s="156"/>
      <c r="Q79" s="156"/>
      <c r="R79" s="156"/>
      <c r="S79" s="156"/>
      <c r="T79" s="156"/>
      <c r="U79" s="200"/>
      <c r="V79" s="224"/>
      <c r="W79" s="224"/>
      <c r="X79" s="224">
        <f t="shared" si="55"/>
        <v>28</v>
      </c>
      <c r="Y79" s="154"/>
      <c r="Z79" s="254"/>
      <c r="AA79" s="154"/>
      <c r="AB79" s="195"/>
      <c r="AC79" s="195"/>
      <c r="AD79" s="272"/>
      <c r="AE79" s="154"/>
      <c r="AF79" s="273"/>
      <c r="AG79" s="160"/>
      <c r="AH79" s="160"/>
      <c r="AI79" s="160"/>
      <c r="AJ79" s="160"/>
      <c r="AK79" s="154"/>
      <c r="AL79" s="156"/>
      <c r="AM79" s="161">
        <f t="shared" ref="AM79:AN79" si="108">AM78+1</f>
        <v>76</v>
      </c>
      <c r="AN79" s="161">
        <f t="shared" si="108"/>
        <v>76</v>
      </c>
      <c r="AO79" s="162"/>
      <c r="AP79" s="164">
        <f t="shared" si="13"/>
        <v>67</v>
      </c>
      <c r="AQ79" s="161"/>
      <c r="AR79" s="163"/>
      <c r="AS79" s="163">
        <f t="shared" si="14"/>
        <v>67</v>
      </c>
      <c r="AT79" s="237"/>
      <c r="AU79" s="161"/>
      <c r="AV79" s="162"/>
      <c r="AW79" s="164"/>
      <c r="AX79" s="163"/>
      <c r="AY79" s="165"/>
      <c r="AZ79" s="202">
        <f t="shared" ref="AZ79:BA79" si="109">AZ78+1</f>
        <v>28</v>
      </c>
      <c r="BA79" s="202">
        <f t="shared" si="109"/>
        <v>44</v>
      </c>
      <c r="BB79" s="161"/>
    </row>
    <row r="80" ht="15.75" customHeight="1">
      <c r="A80" s="166" t="s">
        <v>97</v>
      </c>
      <c r="B80" s="65">
        <f t="shared" si="2"/>
        <v>77</v>
      </c>
      <c r="C80" s="66">
        <f t="shared" si="3"/>
        <v>45943</v>
      </c>
      <c r="D80" s="70"/>
      <c r="E80" s="69"/>
      <c r="F80" s="69"/>
      <c r="G80" s="70"/>
      <c r="H80" s="70"/>
      <c r="I80" s="71"/>
      <c r="J80" s="71"/>
      <c r="K80" s="70"/>
      <c r="L80" s="70"/>
      <c r="M80" s="99"/>
      <c r="N80" s="70"/>
      <c r="O80" s="70"/>
      <c r="P80" s="70"/>
      <c r="Q80" s="70"/>
      <c r="R80" s="70"/>
      <c r="S80" s="70"/>
      <c r="T80" s="70"/>
      <c r="U80" s="188"/>
      <c r="V80" s="205"/>
      <c r="W80" s="205"/>
      <c r="X80" s="205">
        <f t="shared" si="55"/>
        <v>29</v>
      </c>
      <c r="Y80" s="99"/>
      <c r="Z80" s="239"/>
      <c r="AA80" s="99"/>
      <c r="AB80" s="72"/>
      <c r="AC80" s="70"/>
      <c r="AD80" s="240"/>
      <c r="AE80" s="130"/>
      <c r="AF80" s="130"/>
      <c r="AG80" s="70"/>
      <c r="AH80" s="70"/>
      <c r="AI80" s="70"/>
      <c r="AJ80" s="70"/>
      <c r="AK80" s="70"/>
      <c r="AL80" s="70"/>
      <c r="AM80" s="73">
        <f t="shared" ref="AM80:AN80" si="110">AM79+1</f>
        <v>77</v>
      </c>
      <c r="AN80" s="100">
        <f t="shared" si="110"/>
        <v>77</v>
      </c>
      <c r="AO80" s="74"/>
      <c r="AP80" s="78">
        <f t="shared" si="13"/>
        <v>68</v>
      </c>
      <c r="AQ80" s="73"/>
      <c r="AR80" s="78"/>
      <c r="AS80" s="78">
        <f t="shared" si="14"/>
        <v>68</v>
      </c>
      <c r="AT80" s="119"/>
      <c r="AU80" s="73"/>
      <c r="AV80" s="74"/>
      <c r="AW80" s="78"/>
      <c r="AX80" s="78"/>
      <c r="AY80" s="79"/>
      <c r="AZ80" s="73">
        <f t="shared" ref="AZ80:BA80" si="111">AZ79+1</f>
        <v>29</v>
      </c>
      <c r="BA80" s="73">
        <f t="shared" si="111"/>
        <v>45</v>
      </c>
      <c r="BB80" s="73"/>
    </row>
    <row r="81" ht="15.75" customHeight="1">
      <c r="A81" s="133">
        <f>C79</f>
        <v>45936</v>
      </c>
      <c r="B81" s="65">
        <f t="shared" si="2"/>
        <v>78</v>
      </c>
      <c r="C81" s="66">
        <f t="shared" si="3"/>
        <v>45950</v>
      </c>
      <c r="D81" s="70"/>
      <c r="E81" s="69"/>
      <c r="F81" s="69"/>
      <c r="G81" s="70"/>
      <c r="H81" s="70"/>
      <c r="I81" s="71"/>
      <c r="J81" s="71"/>
      <c r="K81" s="70"/>
      <c r="L81" s="70"/>
      <c r="M81" s="99"/>
      <c r="N81" s="70"/>
      <c r="O81" s="70"/>
      <c r="P81" s="70"/>
      <c r="Q81" s="70"/>
      <c r="R81" s="70"/>
      <c r="S81" s="70"/>
      <c r="T81" s="70"/>
      <c r="U81" s="188"/>
      <c r="V81" s="205"/>
      <c r="W81" s="205"/>
      <c r="X81" s="205">
        <f t="shared" si="55"/>
        <v>30</v>
      </c>
      <c r="Y81" s="99"/>
      <c r="Z81" s="239"/>
      <c r="AA81" s="99"/>
      <c r="AB81" s="72"/>
      <c r="AC81" s="70"/>
      <c r="AD81" s="240"/>
      <c r="AE81" s="130"/>
      <c r="AF81" s="130"/>
      <c r="AG81" s="70"/>
      <c r="AH81" s="70"/>
      <c r="AI81" s="70"/>
      <c r="AJ81" s="70"/>
      <c r="AK81" s="70"/>
      <c r="AL81" s="70"/>
      <c r="AM81" s="73">
        <f t="shared" ref="AM81:AN81" si="112">AM80+1</f>
        <v>78</v>
      </c>
      <c r="AN81" s="73">
        <f t="shared" si="112"/>
        <v>78</v>
      </c>
      <c r="AO81" s="74"/>
      <c r="AP81" s="78">
        <f t="shared" si="13"/>
        <v>69</v>
      </c>
      <c r="AQ81" s="73"/>
      <c r="AR81" s="78"/>
      <c r="AS81" s="78">
        <f t="shared" si="14"/>
        <v>69</v>
      </c>
      <c r="AT81" s="274"/>
      <c r="AU81" s="73"/>
      <c r="AV81" s="118"/>
      <c r="AW81" s="78"/>
      <c r="AX81" s="78"/>
      <c r="AY81" s="79"/>
      <c r="AZ81" s="73">
        <f t="shared" ref="AZ81:BA81" si="113">AZ80+1</f>
        <v>30</v>
      </c>
      <c r="BA81" s="73">
        <f t="shared" si="113"/>
        <v>46</v>
      </c>
      <c r="BB81" s="73"/>
    </row>
    <row r="82" ht="15.75" customHeight="1">
      <c r="A82" s="81"/>
      <c r="B82" s="82">
        <f t="shared" si="2"/>
        <v>79</v>
      </c>
      <c r="C82" s="83">
        <f t="shared" si="3"/>
        <v>45957</v>
      </c>
      <c r="D82" s="84"/>
      <c r="E82" s="85"/>
      <c r="F82" s="85"/>
      <c r="G82" s="86"/>
      <c r="H82" s="86"/>
      <c r="I82" s="87"/>
      <c r="J82" s="87"/>
      <c r="K82" s="84"/>
      <c r="L82" s="84"/>
      <c r="M82" s="245"/>
      <c r="N82" s="245"/>
      <c r="O82" s="245"/>
      <c r="P82" s="86"/>
      <c r="Q82" s="86"/>
      <c r="R82" s="86"/>
      <c r="S82" s="86"/>
      <c r="T82" s="86"/>
      <c r="U82" s="210"/>
      <c r="V82" s="210"/>
      <c r="W82" s="210"/>
      <c r="X82" s="210">
        <f t="shared" si="55"/>
        <v>31</v>
      </c>
      <c r="Y82" s="88"/>
      <c r="Z82" s="249"/>
      <c r="AA82" s="88"/>
      <c r="AB82" s="86"/>
      <c r="AC82" s="84"/>
      <c r="AD82" s="270"/>
      <c r="AE82" s="86"/>
      <c r="AF82" s="86"/>
      <c r="AG82" s="86"/>
      <c r="AH82" s="86"/>
      <c r="AI82" s="86"/>
      <c r="AJ82" s="86"/>
      <c r="AK82" s="86"/>
      <c r="AL82" s="86"/>
      <c r="AM82" s="89">
        <f t="shared" ref="AM82:AN82" si="114">AM81+1</f>
        <v>79</v>
      </c>
      <c r="AN82" s="89">
        <f t="shared" si="114"/>
        <v>79</v>
      </c>
      <c r="AO82" s="275"/>
      <c r="AP82" s="92">
        <f t="shared" si="13"/>
        <v>70</v>
      </c>
      <c r="AQ82" s="89"/>
      <c r="AR82" s="92"/>
      <c r="AS82" s="92">
        <f t="shared" si="14"/>
        <v>70</v>
      </c>
      <c r="AT82" s="275"/>
      <c r="AU82" s="89"/>
      <c r="AV82" s="276"/>
      <c r="AW82" s="92"/>
      <c r="AX82" s="92"/>
      <c r="AY82" s="93"/>
      <c r="AZ82" s="89">
        <f t="shared" ref="AZ82:BA82" si="115">AZ81+1</f>
        <v>31</v>
      </c>
      <c r="BA82" s="89">
        <f t="shared" si="115"/>
        <v>47</v>
      </c>
      <c r="BB82" s="89"/>
    </row>
    <row r="83" ht="15.75" customHeight="1">
      <c r="A83" s="46"/>
      <c r="B83" s="47">
        <f t="shared" si="2"/>
        <v>80</v>
      </c>
      <c r="C83" s="94">
        <f t="shared" si="3"/>
        <v>45964</v>
      </c>
      <c r="D83" s="56"/>
      <c r="E83" s="196"/>
      <c r="F83" s="196"/>
      <c r="G83" s="156"/>
      <c r="H83" s="156"/>
      <c r="I83" s="95"/>
      <c r="J83" s="95"/>
      <c r="K83" s="195"/>
      <c r="L83" s="195"/>
      <c r="M83" s="277" t="s">
        <v>59</v>
      </c>
      <c r="N83" s="208"/>
      <c r="O83" s="208"/>
      <c r="P83" s="156"/>
      <c r="Q83" s="156"/>
      <c r="R83" s="156"/>
      <c r="S83" s="156"/>
      <c r="T83" s="195"/>
      <c r="U83" s="278"/>
      <c r="V83" s="278"/>
      <c r="W83" s="224"/>
      <c r="X83" s="224">
        <f t="shared" si="55"/>
        <v>32</v>
      </c>
      <c r="Y83" s="154"/>
      <c r="Z83" s="279" t="s">
        <v>98</v>
      </c>
      <c r="AA83" s="254"/>
      <c r="AB83" s="254"/>
      <c r="AC83" s="195"/>
      <c r="AD83" s="280" t="s">
        <v>99</v>
      </c>
      <c r="AE83" s="281"/>
      <c r="AF83" s="282"/>
      <c r="AG83" s="283"/>
      <c r="AH83" s="156"/>
      <c r="AI83" s="156"/>
      <c r="AJ83" s="156"/>
      <c r="AK83" s="156"/>
      <c r="AL83" s="156"/>
      <c r="AM83" s="202">
        <f t="shared" ref="AM83:AN83" si="116">AM82+1</f>
        <v>80</v>
      </c>
      <c r="AN83" s="202">
        <f t="shared" si="116"/>
        <v>80</v>
      </c>
      <c r="AO83" s="284"/>
      <c r="AP83" s="163">
        <f t="shared" si="13"/>
        <v>71</v>
      </c>
      <c r="AQ83" s="202"/>
      <c r="AR83" s="163"/>
      <c r="AS83" s="163">
        <f t="shared" si="14"/>
        <v>71</v>
      </c>
      <c r="AT83" s="285"/>
      <c r="AU83" s="202"/>
      <c r="AV83" s="237"/>
      <c r="AW83" s="163">
        <f>AW75+1</f>
        <v>7</v>
      </c>
      <c r="AX83" s="163"/>
      <c r="AY83" s="165"/>
      <c r="AZ83" s="202">
        <f t="shared" ref="AZ83:BA83" si="117">AZ82+1</f>
        <v>32</v>
      </c>
      <c r="BA83" s="202">
        <f t="shared" si="117"/>
        <v>48</v>
      </c>
      <c r="BB83" s="202"/>
    </row>
    <row r="84" ht="15.75" customHeight="1">
      <c r="A84" s="64" t="s">
        <v>100</v>
      </c>
      <c r="B84" s="65">
        <f t="shared" si="2"/>
        <v>81</v>
      </c>
      <c r="C84" s="66">
        <f t="shared" si="3"/>
        <v>45971</v>
      </c>
      <c r="D84" s="70"/>
      <c r="E84" s="286"/>
      <c r="F84" s="286"/>
      <c r="G84" s="72"/>
      <c r="H84" s="72"/>
      <c r="I84" s="287" t="s">
        <v>101</v>
      </c>
      <c r="J84" s="71"/>
      <c r="K84" s="70"/>
      <c r="L84" s="70"/>
      <c r="M84" s="130"/>
      <c r="N84" s="130"/>
      <c r="O84" s="130"/>
      <c r="P84" s="70"/>
      <c r="Q84" s="70"/>
      <c r="R84" s="70"/>
      <c r="S84" s="70"/>
      <c r="T84" s="72"/>
      <c r="U84" s="188" t="s">
        <v>102</v>
      </c>
      <c r="V84" s="205"/>
      <c r="W84" s="205"/>
      <c r="X84" s="205">
        <f t="shared" si="55"/>
        <v>33</v>
      </c>
      <c r="Y84" s="99"/>
      <c r="Z84" s="266"/>
      <c r="AA84" s="99"/>
      <c r="AB84" s="99"/>
      <c r="AC84" s="72"/>
      <c r="AD84" s="240"/>
      <c r="AE84" s="130"/>
      <c r="AF84" s="130"/>
      <c r="AG84" s="72"/>
      <c r="AH84" s="72"/>
      <c r="AI84" s="72"/>
      <c r="AJ84" s="72"/>
      <c r="AK84" s="72"/>
      <c r="AL84" s="72"/>
      <c r="AM84" s="73">
        <f t="shared" ref="AM84:AN84" si="118">AM83+1</f>
        <v>81</v>
      </c>
      <c r="AN84" s="100">
        <f t="shared" si="118"/>
        <v>81</v>
      </c>
      <c r="AO84" s="74"/>
      <c r="AP84" s="78">
        <f t="shared" si="13"/>
        <v>72</v>
      </c>
      <c r="AQ84" s="73"/>
      <c r="AR84" s="78"/>
      <c r="AS84" s="78">
        <f t="shared" si="14"/>
        <v>72</v>
      </c>
      <c r="AT84" s="74"/>
      <c r="AU84" s="73"/>
      <c r="AV84" s="74"/>
      <c r="AW84" s="130"/>
      <c r="AX84" s="78"/>
      <c r="AY84" s="79"/>
      <c r="AZ84" s="73">
        <f t="shared" ref="AZ84:BA84" si="119">AZ83+1</f>
        <v>33</v>
      </c>
      <c r="BA84" s="73">
        <f t="shared" si="119"/>
        <v>49</v>
      </c>
      <c r="BB84" s="73"/>
    </row>
    <row r="85" ht="15.75" customHeight="1">
      <c r="A85" s="133">
        <f>C83</f>
        <v>45964</v>
      </c>
      <c r="B85" s="65">
        <f t="shared" si="2"/>
        <v>82</v>
      </c>
      <c r="C85" s="66">
        <f t="shared" si="3"/>
        <v>45978</v>
      </c>
      <c r="D85" s="70"/>
      <c r="E85" s="288"/>
      <c r="F85" s="286"/>
      <c r="G85" s="72"/>
      <c r="H85" s="72"/>
      <c r="I85" s="287" t="s">
        <v>103</v>
      </c>
      <c r="J85" s="71"/>
      <c r="K85" s="70"/>
      <c r="L85" s="70"/>
      <c r="M85" s="99"/>
      <c r="N85" s="99"/>
      <c r="O85" s="99"/>
      <c r="P85" s="70"/>
      <c r="Q85" s="70"/>
      <c r="R85" s="70"/>
      <c r="S85" s="70"/>
      <c r="T85" s="72"/>
      <c r="U85" s="188"/>
      <c r="V85" s="205"/>
      <c r="W85" s="205"/>
      <c r="X85" s="205">
        <f t="shared" si="55"/>
        <v>34</v>
      </c>
      <c r="Y85" s="99"/>
      <c r="Z85" s="239"/>
      <c r="AA85" s="99"/>
      <c r="AB85" s="99"/>
      <c r="AC85" s="70"/>
      <c r="AD85" s="240"/>
      <c r="AE85" s="184"/>
      <c r="AF85" s="289"/>
      <c r="AG85" s="72"/>
      <c r="AH85" s="72"/>
      <c r="AI85" s="72"/>
      <c r="AJ85" s="72"/>
      <c r="AK85" s="72"/>
      <c r="AL85" s="72"/>
      <c r="AM85" s="73">
        <f t="shared" ref="AM85:AN85" si="120">AM84+1</f>
        <v>82</v>
      </c>
      <c r="AN85" s="73">
        <f t="shared" si="120"/>
        <v>82</v>
      </c>
      <c r="AO85" s="74"/>
      <c r="AP85" s="78">
        <f t="shared" si="13"/>
        <v>73</v>
      </c>
      <c r="AQ85" s="73"/>
      <c r="AR85" s="78"/>
      <c r="AS85" s="78">
        <f t="shared" si="14"/>
        <v>73</v>
      </c>
      <c r="AT85" s="290"/>
      <c r="AU85" s="73"/>
      <c r="AV85" s="290"/>
      <c r="AW85" s="130"/>
      <c r="AX85" s="78"/>
      <c r="AY85" s="79"/>
      <c r="AZ85" s="73">
        <f t="shared" ref="AZ85:BA85" si="121">AZ84+1</f>
        <v>34</v>
      </c>
      <c r="BA85" s="73">
        <f t="shared" si="121"/>
        <v>50</v>
      </c>
      <c r="BB85" s="178"/>
    </row>
    <row r="86" ht="15.75" customHeight="1">
      <c r="A86" s="81"/>
      <c r="B86" s="82">
        <f t="shared" si="2"/>
        <v>83</v>
      </c>
      <c r="C86" s="83">
        <f t="shared" si="3"/>
        <v>45985</v>
      </c>
      <c r="D86" s="86"/>
      <c r="E86" s="85"/>
      <c r="F86" s="85"/>
      <c r="G86" s="86"/>
      <c r="H86" s="86"/>
      <c r="I86" s="87" t="s">
        <v>104</v>
      </c>
      <c r="J86" s="87"/>
      <c r="K86" s="86"/>
      <c r="L86" s="86"/>
      <c r="M86" s="88"/>
      <c r="N86" s="88"/>
      <c r="O86" s="88"/>
      <c r="P86" s="86"/>
      <c r="Q86" s="86"/>
      <c r="R86" s="86"/>
      <c r="S86" s="86"/>
      <c r="T86" s="86"/>
      <c r="U86" s="223"/>
      <c r="V86" s="210"/>
      <c r="W86" s="210"/>
      <c r="X86" s="223">
        <v>35.0</v>
      </c>
      <c r="Y86" s="88"/>
      <c r="Z86" s="249"/>
      <c r="AA86" s="88"/>
      <c r="AB86" s="88"/>
      <c r="AC86" s="84"/>
      <c r="AD86" s="270"/>
      <c r="AE86" s="84"/>
      <c r="AF86" s="84"/>
      <c r="AG86" s="86"/>
      <c r="AH86" s="86"/>
      <c r="AI86" s="86"/>
      <c r="AJ86" s="86"/>
      <c r="AK86" s="86"/>
      <c r="AL86" s="86"/>
      <c r="AM86" s="89">
        <f t="shared" ref="AM86:AN86" si="122">AM85+1</f>
        <v>83</v>
      </c>
      <c r="AN86" s="89">
        <f t="shared" si="122"/>
        <v>83</v>
      </c>
      <c r="AO86" s="90"/>
      <c r="AP86" s="92">
        <f t="shared" si="13"/>
        <v>74</v>
      </c>
      <c r="AQ86" s="89"/>
      <c r="AR86" s="92"/>
      <c r="AS86" s="92">
        <f t="shared" si="14"/>
        <v>74</v>
      </c>
      <c r="AT86" s="291"/>
      <c r="AU86" s="89"/>
      <c r="AV86" s="291"/>
      <c r="AW86" s="245"/>
      <c r="AX86" s="89"/>
      <c r="AY86" s="93"/>
      <c r="AZ86" s="89">
        <f t="shared" ref="AZ86:BA86" si="123">AZ85+1</f>
        <v>35</v>
      </c>
      <c r="BA86" s="89">
        <f t="shared" si="123"/>
        <v>51</v>
      </c>
      <c r="BB86" s="292"/>
    </row>
    <row r="87" ht="15.75" customHeight="1">
      <c r="A87" s="46"/>
      <c r="B87" s="47">
        <f t="shared" si="2"/>
        <v>84</v>
      </c>
      <c r="C87" s="94">
        <f t="shared" si="3"/>
        <v>45992</v>
      </c>
      <c r="D87" s="56"/>
      <c r="E87" s="293"/>
      <c r="F87" s="293"/>
      <c r="G87" s="195"/>
      <c r="H87" s="195"/>
      <c r="I87" s="256"/>
      <c r="J87" s="256"/>
      <c r="K87" s="195"/>
      <c r="L87" s="195"/>
      <c r="M87" s="154"/>
      <c r="N87" s="154"/>
      <c r="O87" s="154"/>
      <c r="P87" s="195"/>
      <c r="Q87" s="195"/>
      <c r="R87" s="195"/>
      <c r="S87" s="195"/>
      <c r="T87" s="195"/>
      <c r="U87" s="294"/>
      <c r="V87" s="224"/>
      <c r="W87" s="224"/>
      <c r="X87" s="200">
        <v>36.0</v>
      </c>
      <c r="Y87" s="154"/>
      <c r="Z87" s="254"/>
      <c r="AA87" s="154"/>
      <c r="AB87" s="154"/>
      <c r="AC87" s="154"/>
      <c r="AD87" s="272"/>
      <c r="AE87" s="208"/>
      <c r="AF87" s="208"/>
      <c r="AG87" s="195"/>
      <c r="AH87" s="195"/>
      <c r="AI87" s="195"/>
      <c r="AJ87" s="195"/>
      <c r="AK87" s="195"/>
      <c r="AL87" s="195"/>
      <c r="AM87" s="202">
        <f t="shared" ref="AM87:AN87" si="124">AM86+1</f>
        <v>84</v>
      </c>
      <c r="AN87" s="202">
        <f t="shared" si="124"/>
        <v>84</v>
      </c>
      <c r="AO87" s="162"/>
      <c r="AP87" s="163">
        <f t="shared" si="13"/>
        <v>75</v>
      </c>
      <c r="AQ87" s="202"/>
      <c r="AR87" s="163"/>
      <c r="AS87" s="163">
        <f t="shared" si="14"/>
        <v>75</v>
      </c>
      <c r="AT87" s="162"/>
      <c r="AU87" s="202"/>
      <c r="AV87" s="162"/>
      <c r="AW87" s="295"/>
      <c r="AX87" s="202"/>
      <c r="AY87" s="165"/>
      <c r="AZ87" s="202">
        <f t="shared" ref="AZ87:BA87" si="125">AZ86+1</f>
        <v>36</v>
      </c>
      <c r="BA87" s="202">
        <f t="shared" si="125"/>
        <v>52</v>
      </c>
      <c r="BB87" s="202"/>
    </row>
    <row r="88" ht="15.75" customHeight="1">
      <c r="A88" s="64" t="s">
        <v>105</v>
      </c>
      <c r="B88" s="65">
        <f t="shared" si="2"/>
        <v>85</v>
      </c>
      <c r="C88" s="66">
        <f t="shared" si="3"/>
        <v>45999</v>
      </c>
      <c r="D88" s="72"/>
      <c r="E88" s="286"/>
      <c r="F88" s="286"/>
      <c r="G88" s="72"/>
      <c r="H88" s="72"/>
      <c r="I88" s="184"/>
      <c r="J88" s="296"/>
      <c r="K88" s="72"/>
      <c r="L88" s="72"/>
      <c r="M88" s="297" t="s">
        <v>106</v>
      </c>
      <c r="N88" s="297"/>
      <c r="O88" s="297"/>
      <c r="P88" s="72"/>
      <c r="Q88" s="72"/>
      <c r="R88" s="72"/>
      <c r="S88" s="72"/>
      <c r="T88" s="72"/>
      <c r="U88" s="205"/>
      <c r="V88" s="205"/>
      <c r="W88" s="205"/>
      <c r="X88" s="188">
        <v>37.0</v>
      </c>
      <c r="Y88" s="99"/>
      <c r="Z88" s="266" t="s">
        <v>107</v>
      </c>
      <c r="AA88" s="239"/>
      <c r="AB88" s="239"/>
      <c r="AC88" s="99"/>
      <c r="AD88" s="298" t="s">
        <v>108</v>
      </c>
      <c r="AE88" s="299"/>
      <c r="AF88" s="300"/>
      <c r="AG88" s="300"/>
      <c r="AH88" s="72"/>
      <c r="AI88" s="72"/>
      <c r="AJ88" s="72"/>
      <c r="AK88" s="72"/>
      <c r="AL88" s="72"/>
      <c r="AM88" s="73">
        <f t="shared" ref="AM88:AN88" si="126">AM87+1</f>
        <v>85</v>
      </c>
      <c r="AN88" s="73">
        <f t="shared" si="126"/>
        <v>85</v>
      </c>
      <c r="AO88" s="74"/>
      <c r="AP88" s="78">
        <f t="shared" si="13"/>
        <v>76</v>
      </c>
      <c r="AQ88" s="73"/>
      <c r="AR88" s="78"/>
      <c r="AS88" s="78">
        <f t="shared" si="14"/>
        <v>76</v>
      </c>
      <c r="AT88" s="74"/>
      <c r="AU88" s="73"/>
      <c r="AV88" s="74"/>
      <c r="AW88" s="78">
        <f>AW83+1</f>
        <v>8</v>
      </c>
      <c r="AX88" s="73"/>
      <c r="AY88" s="79"/>
      <c r="AZ88" s="73">
        <f t="shared" ref="AZ88:BA88" si="127">AZ87+1</f>
        <v>37</v>
      </c>
      <c r="BA88" s="73">
        <f t="shared" si="127"/>
        <v>53</v>
      </c>
      <c r="BB88" s="73"/>
    </row>
    <row r="89" ht="15.75" customHeight="1">
      <c r="A89" s="133">
        <f>C87</f>
        <v>45992</v>
      </c>
      <c r="B89" s="65">
        <f t="shared" si="2"/>
        <v>86</v>
      </c>
      <c r="C89" s="66">
        <f t="shared" si="3"/>
        <v>46006</v>
      </c>
      <c r="D89" s="70"/>
      <c r="E89" s="69"/>
      <c r="F89" s="69"/>
      <c r="G89" s="70"/>
      <c r="H89" s="70"/>
      <c r="I89" s="99"/>
      <c r="J89" s="296"/>
      <c r="K89" s="70"/>
      <c r="L89" s="70"/>
      <c r="M89" s="177" t="s">
        <v>109</v>
      </c>
      <c r="N89" s="297"/>
      <c r="O89" s="297"/>
      <c r="P89" s="70"/>
      <c r="Q89" s="70"/>
      <c r="R89" s="70"/>
      <c r="S89" s="70"/>
      <c r="T89" s="70"/>
      <c r="U89" s="188" t="s">
        <v>110</v>
      </c>
      <c r="V89" s="205"/>
      <c r="W89" s="205"/>
      <c r="X89" s="188">
        <v>38.0</v>
      </c>
      <c r="Y89" s="99"/>
      <c r="Z89" s="266"/>
      <c r="AA89" s="99"/>
      <c r="AB89" s="99"/>
      <c r="AC89" s="99"/>
      <c r="AD89" s="130"/>
      <c r="AE89" s="130"/>
      <c r="AF89" s="130"/>
      <c r="AG89" s="70"/>
      <c r="AH89" s="70"/>
      <c r="AI89" s="70"/>
      <c r="AJ89" s="70"/>
      <c r="AK89" s="70"/>
      <c r="AL89" s="70"/>
      <c r="AM89" s="73">
        <f t="shared" ref="AM89:AN89" si="128">AM88+1</f>
        <v>86</v>
      </c>
      <c r="AN89" s="73">
        <f t="shared" si="128"/>
        <v>86</v>
      </c>
      <c r="AO89" s="74"/>
      <c r="AP89" s="78">
        <f t="shared" si="13"/>
        <v>77</v>
      </c>
      <c r="AQ89" s="73"/>
      <c r="AR89" s="78"/>
      <c r="AS89" s="78">
        <f t="shared" si="14"/>
        <v>77</v>
      </c>
      <c r="AT89" s="74"/>
      <c r="AU89" s="73"/>
      <c r="AV89" s="74"/>
      <c r="AW89" s="78">
        <f>AW88+1</f>
        <v>9</v>
      </c>
      <c r="AX89" s="73"/>
      <c r="AY89" s="79"/>
      <c r="AZ89" s="73">
        <f t="shared" ref="AZ89:BA89" si="129">AZ88+1</f>
        <v>38</v>
      </c>
      <c r="BA89" s="73">
        <f t="shared" si="129"/>
        <v>54</v>
      </c>
      <c r="BB89" s="73"/>
    </row>
    <row r="90" ht="15.75" customHeight="1">
      <c r="A90" s="64"/>
      <c r="B90" s="65">
        <f t="shared" si="2"/>
        <v>87</v>
      </c>
      <c r="C90" s="66">
        <f t="shared" si="3"/>
        <v>46013</v>
      </c>
      <c r="D90" s="70"/>
      <c r="E90" s="69"/>
      <c r="F90" s="69"/>
      <c r="G90" s="70"/>
      <c r="H90" s="70"/>
      <c r="I90" s="99"/>
      <c r="J90" s="296"/>
      <c r="K90" s="70"/>
      <c r="L90" s="70"/>
      <c r="M90" s="99"/>
      <c r="N90" s="99"/>
      <c r="O90" s="99"/>
      <c r="P90" s="70"/>
      <c r="Q90" s="70"/>
      <c r="R90" s="70"/>
      <c r="S90" s="70"/>
      <c r="T90" s="70"/>
      <c r="U90" s="188"/>
      <c r="V90" s="301"/>
      <c r="W90" s="205"/>
      <c r="X90" s="188">
        <v>39.0</v>
      </c>
      <c r="Y90" s="99"/>
      <c r="Z90" s="239"/>
      <c r="AA90" s="99"/>
      <c r="AB90" s="99"/>
      <c r="AC90" s="99"/>
      <c r="AD90" s="130"/>
      <c r="AE90" s="130"/>
      <c r="AF90" s="130"/>
      <c r="AG90" s="70"/>
      <c r="AH90" s="70"/>
      <c r="AI90" s="70"/>
      <c r="AJ90" s="70"/>
      <c r="AK90" s="70"/>
      <c r="AL90" s="70"/>
      <c r="AM90" s="73">
        <f t="shared" ref="AM90:AN90" si="130">AM89+1</f>
        <v>87</v>
      </c>
      <c r="AN90" s="73">
        <f t="shared" si="130"/>
        <v>87</v>
      </c>
      <c r="AO90" s="74"/>
      <c r="AP90" s="78">
        <f t="shared" si="13"/>
        <v>78</v>
      </c>
      <c r="AQ90" s="73"/>
      <c r="AR90" s="78"/>
      <c r="AS90" s="78">
        <f t="shared" si="14"/>
        <v>78</v>
      </c>
      <c r="AT90" s="74"/>
      <c r="AU90" s="73"/>
      <c r="AV90" s="74"/>
      <c r="AW90" s="302">
        <f>AW89/4.33</f>
        <v>2.07852194</v>
      </c>
      <c r="AX90" s="73"/>
      <c r="AY90" s="79"/>
      <c r="AZ90" s="73">
        <f t="shared" ref="AZ90:BA90" si="131">AZ89+1</f>
        <v>39</v>
      </c>
      <c r="BA90" s="73">
        <f t="shared" si="131"/>
        <v>55</v>
      </c>
      <c r="BB90" s="73"/>
    </row>
    <row r="91" ht="15.75" customHeight="1">
      <c r="A91" s="81"/>
      <c r="B91" s="82">
        <f t="shared" si="2"/>
        <v>88</v>
      </c>
      <c r="C91" s="83">
        <f t="shared" si="3"/>
        <v>46020</v>
      </c>
      <c r="D91" s="84"/>
      <c r="E91" s="303"/>
      <c r="F91" s="303"/>
      <c r="G91" s="245"/>
      <c r="H91" s="245"/>
      <c r="I91" s="245"/>
      <c r="J91" s="304"/>
      <c r="K91" s="84"/>
      <c r="L91" s="84"/>
      <c r="M91" s="88"/>
      <c r="N91" s="88"/>
      <c r="O91" s="88"/>
      <c r="P91" s="84"/>
      <c r="Q91" s="84"/>
      <c r="R91" s="84"/>
      <c r="S91" s="84"/>
      <c r="T91" s="84"/>
      <c r="U91" s="223" t="s">
        <v>111</v>
      </c>
      <c r="V91" s="305"/>
      <c r="W91" s="306"/>
      <c r="X91" s="307">
        <v>40.0</v>
      </c>
      <c r="Y91" s="86"/>
      <c r="Z91" s="249"/>
      <c r="AA91" s="88"/>
      <c r="AB91" s="88"/>
      <c r="AC91" s="88"/>
      <c r="AD91" s="245"/>
      <c r="AE91" s="245"/>
      <c r="AF91" s="245"/>
      <c r="AG91" s="245"/>
      <c r="AH91" s="245"/>
      <c r="AI91" s="245"/>
      <c r="AJ91" s="245"/>
      <c r="AK91" s="245"/>
      <c r="AL91" s="245"/>
      <c r="AM91" s="89">
        <f t="shared" ref="AM91:AN91" si="132">AM90+1</f>
        <v>88</v>
      </c>
      <c r="AN91" s="89">
        <f t="shared" si="132"/>
        <v>88</v>
      </c>
      <c r="AO91" s="90"/>
      <c r="AP91" s="92">
        <f t="shared" si="13"/>
        <v>79</v>
      </c>
      <c r="AQ91" s="89"/>
      <c r="AR91" s="92"/>
      <c r="AS91" s="92">
        <f t="shared" si="14"/>
        <v>79</v>
      </c>
      <c r="AT91" s="90"/>
      <c r="AU91" s="89"/>
      <c r="AV91" s="90"/>
      <c r="AW91" s="308" t="s">
        <v>112</v>
      </c>
      <c r="AX91" s="89"/>
      <c r="AY91" s="93"/>
      <c r="AZ91" s="89">
        <f t="shared" ref="AZ91:BA91" si="133">AZ90+1</f>
        <v>40</v>
      </c>
      <c r="BA91" s="89">
        <f t="shared" si="133"/>
        <v>56</v>
      </c>
      <c r="BB91" s="89"/>
    </row>
    <row r="92" ht="15.75" customHeight="1">
      <c r="A92" s="46"/>
      <c r="B92" s="47">
        <f t="shared" si="2"/>
        <v>89</v>
      </c>
      <c r="C92" s="94">
        <f t="shared" si="3"/>
        <v>46027</v>
      </c>
      <c r="D92" s="56"/>
      <c r="E92" s="208"/>
      <c r="F92" s="208"/>
      <c r="G92" s="208"/>
      <c r="H92" s="208"/>
      <c r="I92" s="208"/>
      <c r="J92" s="309"/>
      <c r="K92" s="195"/>
      <c r="L92" s="195"/>
      <c r="M92" s="154"/>
      <c r="N92" s="154"/>
      <c r="O92" s="154"/>
      <c r="P92" s="195"/>
      <c r="Q92" s="195"/>
      <c r="R92" s="195"/>
      <c r="S92" s="195"/>
      <c r="T92" s="195"/>
      <c r="U92" s="310" t="s">
        <v>113</v>
      </c>
      <c r="V92" s="311"/>
      <c r="W92" s="156"/>
      <c r="X92" s="156"/>
      <c r="Y92" s="156"/>
      <c r="Z92" s="279" t="s">
        <v>114</v>
      </c>
      <c r="AA92" s="254"/>
      <c r="AB92" s="254"/>
      <c r="AC92" s="154"/>
      <c r="AD92" s="272" t="s">
        <v>115</v>
      </c>
      <c r="AE92" s="272"/>
      <c r="AF92" s="312"/>
      <c r="AG92" s="313">
        <v>1.0</v>
      </c>
      <c r="AH92" s="208"/>
      <c r="AI92" s="207" t="s">
        <v>116</v>
      </c>
      <c r="AJ92" s="314"/>
      <c r="AK92" s="314"/>
      <c r="AL92" s="208"/>
      <c r="AM92" s="202">
        <f t="shared" ref="AM92:AN92" si="134">AM91+1</f>
        <v>89</v>
      </c>
      <c r="AN92" s="202">
        <f t="shared" si="134"/>
        <v>89</v>
      </c>
      <c r="AO92" s="162"/>
      <c r="AP92" s="163">
        <f t="shared" si="13"/>
        <v>80</v>
      </c>
      <c r="AQ92" s="202"/>
      <c r="AR92" s="163"/>
      <c r="AS92" s="163">
        <f t="shared" si="14"/>
        <v>80</v>
      </c>
      <c r="AT92" s="162"/>
      <c r="AU92" s="202"/>
      <c r="AV92" s="162"/>
      <c r="AW92" s="202"/>
      <c r="AX92" s="202"/>
      <c r="AY92" s="165"/>
      <c r="AZ92" s="315">
        <f>AZ91/4.33</f>
        <v>9.237875289</v>
      </c>
      <c r="BA92" s="202">
        <f t="shared" ref="BA92:BA107" si="136">BA91+1</f>
        <v>57</v>
      </c>
      <c r="BB92" s="202"/>
    </row>
    <row r="93" ht="15.75" customHeight="1">
      <c r="A93" s="64" t="s">
        <v>117</v>
      </c>
      <c r="B93" s="65">
        <f t="shared" si="2"/>
        <v>90</v>
      </c>
      <c r="C93" s="66">
        <f t="shared" si="3"/>
        <v>46034</v>
      </c>
      <c r="D93" s="70"/>
      <c r="E93" s="130"/>
      <c r="F93" s="130"/>
      <c r="G93" s="130"/>
      <c r="H93" s="130"/>
      <c r="I93" s="130"/>
      <c r="J93" s="296"/>
      <c r="K93" s="70"/>
      <c r="L93" s="70"/>
      <c r="M93" s="99"/>
      <c r="N93" s="99"/>
      <c r="O93" s="99"/>
      <c r="P93" s="70"/>
      <c r="Q93" s="70"/>
      <c r="R93" s="70"/>
      <c r="S93" s="70"/>
      <c r="T93" s="70"/>
      <c r="U93" s="316" t="s">
        <v>118</v>
      </c>
      <c r="V93" s="70"/>
      <c r="W93" s="70"/>
      <c r="X93" s="70"/>
      <c r="Y93" s="70"/>
      <c r="Z93" s="239"/>
      <c r="AA93" s="239"/>
      <c r="AB93" s="239"/>
      <c r="AC93" s="99"/>
      <c r="AD93" s="298" t="s">
        <v>119</v>
      </c>
      <c r="AE93" s="299"/>
      <c r="AF93" s="300"/>
      <c r="AG93" s="317">
        <v>2.0</v>
      </c>
      <c r="AH93" s="130"/>
      <c r="AI93" s="261" t="s">
        <v>120</v>
      </c>
      <c r="AJ93" s="318"/>
      <c r="AK93" s="318"/>
      <c r="AL93" s="130"/>
      <c r="AM93" s="73">
        <f t="shared" ref="AM93:AN93" si="135">AM92+1</f>
        <v>90</v>
      </c>
      <c r="AN93" s="73">
        <f t="shared" si="135"/>
        <v>90</v>
      </c>
      <c r="AO93" s="74"/>
      <c r="AP93" s="78">
        <f t="shared" si="13"/>
        <v>81</v>
      </c>
      <c r="AQ93" s="73"/>
      <c r="AR93" s="78"/>
      <c r="AS93" s="78">
        <f t="shared" si="14"/>
        <v>81</v>
      </c>
      <c r="AT93" s="74"/>
      <c r="AU93" s="73"/>
      <c r="AV93" s="74"/>
      <c r="AW93" s="73"/>
      <c r="AX93" s="73"/>
      <c r="AY93" s="79"/>
      <c r="AZ93" s="319" t="s">
        <v>112</v>
      </c>
      <c r="BA93" s="73">
        <f t="shared" si="136"/>
        <v>58</v>
      </c>
      <c r="BB93" s="73"/>
    </row>
    <row r="94" ht="15.75" customHeight="1">
      <c r="A94" s="133">
        <f>C92</f>
        <v>46027</v>
      </c>
      <c r="B94" s="65">
        <f t="shared" si="2"/>
        <v>91</v>
      </c>
      <c r="C94" s="66">
        <f t="shared" si="3"/>
        <v>46041</v>
      </c>
      <c r="D94" s="70"/>
      <c r="E94" s="70"/>
      <c r="F94" s="70"/>
      <c r="G94" s="70"/>
      <c r="H94" s="70"/>
      <c r="I94" s="70"/>
      <c r="J94" s="320"/>
      <c r="K94" s="70"/>
      <c r="L94" s="70"/>
      <c r="M94" s="70"/>
      <c r="N94" s="70"/>
      <c r="O94" s="70"/>
      <c r="P94" s="70"/>
      <c r="Q94" s="70"/>
      <c r="R94" s="70"/>
      <c r="S94" s="70"/>
      <c r="T94" s="70"/>
      <c r="U94" s="321"/>
      <c r="V94" s="70"/>
      <c r="W94" s="70"/>
      <c r="X94" s="70"/>
      <c r="Y94" s="70"/>
      <c r="Z94" s="239"/>
      <c r="AA94" s="239"/>
      <c r="AB94" s="239"/>
      <c r="AC94" s="99"/>
      <c r="AD94" s="299"/>
      <c r="AE94" s="299"/>
      <c r="AF94" s="300"/>
      <c r="AG94" s="317">
        <f t="shared" ref="AG94:AG103" si="138">AG93+1</f>
        <v>3</v>
      </c>
      <c r="AH94" s="70"/>
      <c r="AI94" s="322" t="s">
        <v>121</v>
      </c>
      <c r="AJ94" s="323"/>
      <c r="AK94" s="324"/>
      <c r="AL94" s="70"/>
      <c r="AM94" s="73">
        <f t="shared" ref="AM94:AN94" si="137">AM93+1</f>
        <v>91</v>
      </c>
      <c r="AN94" s="73">
        <f t="shared" si="137"/>
        <v>91</v>
      </c>
      <c r="AO94" s="74"/>
      <c r="AP94" s="78">
        <f t="shared" si="13"/>
        <v>82</v>
      </c>
      <c r="AQ94" s="73"/>
      <c r="AR94" s="78"/>
      <c r="AS94" s="78">
        <f t="shared" si="14"/>
        <v>82</v>
      </c>
      <c r="AT94" s="74"/>
      <c r="AU94" s="325"/>
      <c r="AV94" s="74"/>
      <c r="AW94" s="73"/>
      <c r="AX94" s="326"/>
      <c r="AY94" s="79"/>
      <c r="AZ94" s="73"/>
      <c r="BA94" s="73">
        <f t="shared" si="136"/>
        <v>59</v>
      </c>
      <c r="BB94" s="326"/>
    </row>
    <row r="95" ht="15.75" customHeight="1">
      <c r="A95" s="327"/>
      <c r="B95" s="82">
        <f t="shared" si="2"/>
        <v>92</v>
      </c>
      <c r="C95" s="83">
        <f t="shared" si="3"/>
        <v>46048</v>
      </c>
      <c r="D95" s="84"/>
      <c r="E95" s="84"/>
      <c r="F95" s="84"/>
      <c r="G95" s="84"/>
      <c r="H95" s="84"/>
      <c r="I95" s="84"/>
      <c r="J95" s="84"/>
      <c r="K95" s="84"/>
      <c r="L95" s="84"/>
      <c r="M95" s="84"/>
      <c r="N95" s="84"/>
      <c r="O95" s="84"/>
      <c r="P95" s="84"/>
      <c r="Q95" s="84"/>
      <c r="R95" s="84"/>
      <c r="S95" s="84"/>
      <c r="T95" s="84"/>
      <c r="U95" s="305"/>
      <c r="V95" s="84"/>
      <c r="W95" s="84"/>
      <c r="X95" s="84"/>
      <c r="Y95" s="86"/>
      <c r="Z95" s="249" t="s">
        <v>122</v>
      </c>
      <c r="AA95" s="249"/>
      <c r="AB95" s="249"/>
      <c r="AC95" s="88"/>
      <c r="AD95" s="328"/>
      <c r="AE95" s="328"/>
      <c r="AF95" s="329"/>
      <c r="AG95" s="330">
        <f t="shared" si="138"/>
        <v>4</v>
      </c>
      <c r="AH95" s="84"/>
      <c r="AI95" s="84"/>
      <c r="AJ95" s="84"/>
      <c r="AK95" s="84"/>
      <c r="AL95" s="84"/>
      <c r="AM95" s="89">
        <f t="shared" ref="AM95:AN95" si="139">AM94+1</f>
        <v>92</v>
      </c>
      <c r="AN95" s="89">
        <f t="shared" si="139"/>
        <v>92</v>
      </c>
      <c r="AO95" s="90"/>
      <c r="AP95" s="92">
        <f t="shared" si="13"/>
        <v>83</v>
      </c>
      <c r="AQ95" s="89"/>
      <c r="AR95" s="92"/>
      <c r="AS95" s="92">
        <f t="shared" si="14"/>
        <v>83</v>
      </c>
      <c r="AT95" s="90"/>
      <c r="AU95" s="331"/>
      <c r="AV95" s="90"/>
      <c r="AW95" s="89"/>
      <c r="AX95" s="332"/>
      <c r="AY95" s="93"/>
      <c r="AZ95" s="89"/>
      <c r="BA95" s="89">
        <f t="shared" si="136"/>
        <v>60</v>
      </c>
      <c r="BB95" s="332"/>
    </row>
    <row r="96" ht="15.75" customHeight="1">
      <c r="A96" s="46"/>
      <c r="B96" s="47">
        <f t="shared" si="2"/>
        <v>93</v>
      </c>
      <c r="C96" s="94">
        <f t="shared" si="3"/>
        <v>46055</v>
      </c>
      <c r="D96" s="56"/>
      <c r="E96" s="195"/>
      <c r="F96" s="195"/>
      <c r="G96" s="195"/>
      <c r="H96" s="195"/>
      <c r="I96" s="195"/>
      <c r="J96" s="195"/>
      <c r="K96" s="195"/>
      <c r="L96" s="195"/>
      <c r="M96" s="195"/>
      <c r="N96" s="195"/>
      <c r="O96" s="195"/>
      <c r="P96" s="195"/>
      <c r="Q96" s="195"/>
      <c r="R96" s="195"/>
      <c r="S96" s="195"/>
      <c r="T96" s="195"/>
      <c r="U96" s="333"/>
      <c r="V96" s="195"/>
      <c r="W96" s="195"/>
      <c r="X96" s="195"/>
      <c r="Y96" s="156"/>
      <c r="Z96" s="254" t="s">
        <v>123</v>
      </c>
      <c r="AA96" s="254"/>
      <c r="AB96" s="254"/>
      <c r="AC96" s="154"/>
      <c r="AD96" s="281"/>
      <c r="AE96" s="281"/>
      <c r="AF96" s="282"/>
      <c r="AG96" s="334">
        <f t="shared" si="138"/>
        <v>5</v>
      </c>
      <c r="AH96" s="195"/>
      <c r="AI96" s="195"/>
      <c r="AJ96" s="195"/>
      <c r="AK96" s="195"/>
      <c r="AL96" s="195"/>
      <c r="AM96" s="202">
        <f t="shared" ref="AM96:AN96" si="140">AM95+1</f>
        <v>93</v>
      </c>
      <c r="AN96" s="202">
        <f t="shared" si="140"/>
        <v>93</v>
      </c>
      <c r="AO96" s="162"/>
      <c r="AP96" s="163">
        <f t="shared" si="13"/>
        <v>84</v>
      </c>
      <c r="AQ96" s="202"/>
      <c r="AR96" s="163"/>
      <c r="AS96" s="163">
        <f t="shared" si="14"/>
        <v>84</v>
      </c>
      <c r="AT96" s="162"/>
      <c r="AU96" s="202"/>
      <c r="AV96" s="162"/>
      <c r="AW96" s="202"/>
      <c r="AX96" s="202"/>
      <c r="AY96" s="165"/>
      <c r="AZ96" s="335">
        <v>0.6</v>
      </c>
      <c r="BA96" s="163">
        <f t="shared" si="136"/>
        <v>61</v>
      </c>
      <c r="BB96" s="202"/>
    </row>
    <row r="97" ht="15.75" customHeight="1">
      <c r="A97" s="64" t="s">
        <v>124</v>
      </c>
      <c r="B97" s="65">
        <f t="shared" si="2"/>
        <v>94</v>
      </c>
      <c r="C97" s="66">
        <f t="shared" si="3"/>
        <v>46062</v>
      </c>
      <c r="D97" s="72"/>
      <c r="E97" s="72"/>
      <c r="F97" s="72"/>
      <c r="G97" s="72"/>
      <c r="H97" s="72"/>
      <c r="I97" s="72"/>
      <c r="J97" s="72"/>
      <c r="K97" s="72"/>
      <c r="L97" s="72"/>
      <c r="M97" s="72"/>
      <c r="N97" s="72"/>
      <c r="O97" s="72"/>
      <c r="P97" s="72"/>
      <c r="Q97" s="72"/>
      <c r="R97" s="72"/>
      <c r="S97" s="72"/>
      <c r="T97" s="72"/>
      <c r="U97" s="321"/>
      <c r="V97" s="70"/>
      <c r="W97" s="72"/>
      <c r="X97" s="72"/>
      <c r="Y97" s="70"/>
      <c r="Z97" s="239" t="s">
        <v>125</v>
      </c>
      <c r="AA97" s="239"/>
      <c r="AB97" s="239"/>
      <c r="AC97" s="99"/>
      <c r="AD97" s="299"/>
      <c r="AE97" s="299"/>
      <c r="AF97" s="300"/>
      <c r="AG97" s="317">
        <f t="shared" si="138"/>
        <v>6</v>
      </c>
      <c r="AH97" s="72"/>
      <c r="AI97" s="72"/>
      <c r="AJ97" s="72"/>
      <c r="AK97" s="72"/>
      <c r="AL97" s="72"/>
      <c r="AM97" s="73">
        <f t="shared" ref="AM97:AN97" si="141">AM96+1</f>
        <v>94</v>
      </c>
      <c r="AN97" s="73">
        <f t="shared" si="141"/>
        <v>94</v>
      </c>
      <c r="AO97" s="74"/>
      <c r="AP97" s="78">
        <f t="shared" si="13"/>
        <v>85</v>
      </c>
      <c r="AQ97" s="73"/>
      <c r="AR97" s="78"/>
      <c r="AS97" s="78">
        <f t="shared" si="14"/>
        <v>85</v>
      </c>
      <c r="AT97" s="74"/>
      <c r="AU97" s="73"/>
      <c r="AV97" s="74"/>
      <c r="AW97" s="73"/>
      <c r="AX97" s="73"/>
      <c r="AY97" s="79"/>
      <c r="AZ97" s="73"/>
      <c r="BA97" s="78">
        <f t="shared" si="136"/>
        <v>62</v>
      </c>
      <c r="BB97" s="73"/>
    </row>
    <row r="98" ht="15.75" customHeight="1">
      <c r="A98" s="133">
        <f>C96</f>
        <v>46055</v>
      </c>
      <c r="B98" s="65">
        <f t="shared" si="2"/>
        <v>95</v>
      </c>
      <c r="C98" s="66">
        <f t="shared" si="3"/>
        <v>46069</v>
      </c>
      <c r="D98" s="70"/>
      <c r="E98" s="70"/>
      <c r="F98" s="70"/>
      <c r="G98" s="70"/>
      <c r="H98" s="70"/>
      <c r="I98" s="70"/>
      <c r="J98" s="70"/>
      <c r="K98" s="70"/>
      <c r="L98" s="70"/>
      <c r="M98" s="70"/>
      <c r="N98" s="70"/>
      <c r="O98" s="70"/>
      <c r="P98" s="70"/>
      <c r="Q98" s="70"/>
      <c r="R98" s="70"/>
      <c r="S98" s="70"/>
      <c r="T98" s="70"/>
      <c r="U98" s="321"/>
      <c r="V98" s="70"/>
      <c r="W98" s="70"/>
      <c r="X98" s="70"/>
      <c r="Y98" s="70"/>
      <c r="Z98" s="239" t="s">
        <v>126</v>
      </c>
      <c r="AA98" s="239"/>
      <c r="AB98" s="239"/>
      <c r="AC98" s="99"/>
      <c r="AD98" s="299"/>
      <c r="AE98" s="299"/>
      <c r="AF98" s="300"/>
      <c r="AG98" s="317">
        <f t="shared" si="138"/>
        <v>7</v>
      </c>
      <c r="AH98" s="70"/>
      <c r="AI98" s="70"/>
      <c r="AJ98" s="70"/>
      <c r="AK98" s="70"/>
      <c r="AL98" s="70"/>
      <c r="AM98" s="73">
        <f t="shared" ref="AM98:AN98" si="142">AM97+1</f>
        <v>95</v>
      </c>
      <c r="AN98" s="73">
        <f t="shared" si="142"/>
        <v>95</v>
      </c>
      <c r="AO98" s="74"/>
      <c r="AP98" s="78">
        <f t="shared" si="13"/>
        <v>86</v>
      </c>
      <c r="AQ98" s="73"/>
      <c r="AR98" s="78"/>
      <c r="AS98" s="78">
        <f t="shared" si="14"/>
        <v>86</v>
      </c>
      <c r="AT98" s="74"/>
      <c r="AU98" s="73"/>
      <c r="AV98" s="74"/>
      <c r="AW98" s="73"/>
      <c r="AX98" s="73"/>
      <c r="AY98" s="79"/>
      <c r="AZ98" s="73"/>
      <c r="BA98" s="78">
        <f t="shared" si="136"/>
        <v>63</v>
      </c>
      <c r="BB98" s="73"/>
    </row>
    <row r="99" ht="15.75" customHeight="1">
      <c r="A99" s="336"/>
      <c r="B99" s="82">
        <f t="shared" si="2"/>
        <v>96</v>
      </c>
      <c r="C99" s="83">
        <f t="shared" si="3"/>
        <v>46076</v>
      </c>
      <c r="D99" s="86"/>
      <c r="E99" s="86"/>
      <c r="F99" s="86"/>
      <c r="G99" s="86"/>
      <c r="H99" s="86"/>
      <c r="I99" s="86"/>
      <c r="J99" s="86"/>
      <c r="K99" s="86"/>
      <c r="L99" s="86"/>
      <c r="M99" s="86"/>
      <c r="N99" s="86"/>
      <c r="O99" s="86"/>
      <c r="P99" s="86"/>
      <c r="Q99" s="86"/>
      <c r="R99" s="86"/>
      <c r="S99" s="86"/>
      <c r="T99" s="86"/>
      <c r="U99" s="305"/>
      <c r="V99" s="86"/>
      <c r="W99" s="86"/>
      <c r="X99" s="86"/>
      <c r="Y99" s="86"/>
      <c r="Z99" s="245"/>
      <c r="AA99" s="245"/>
      <c r="AB99" s="245"/>
      <c r="AC99" s="88"/>
      <c r="AD99" s="328"/>
      <c r="AE99" s="328"/>
      <c r="AF99" s="329"/>
      <c r="AG99" s="330">
        <f t="shared" si="138"/>
        <v>8</v>
      </c>
      <c r="AH99" s="86"/>
      <c r="AI99" s="86"/>
      <c r="AJ99" s="86"/>
      <c r="AK99" s="86"/>
      <c r="AL99" s="86"/>
      <c r="AM99" s="89">
        <f t="shared" ref="AM99:AN99" si="143">AM98+1</f>
        <v>96</v>
      </c>
      <c r="AN99" s="89">
        <f t="shared" si="143"/>
        <v>96</v>
      </c>
      <c r="AO99" s="90"/>
      <c r="AP99" s="92">
        <f t="shared" si="13"/>
        <v>87</v>
      </c>
      <c r="AQ99" s="89"/>
      <c r="AR99" s="92"/>
      <c r="AS99" s="92">
        <f t="shared" si="14"/>
        <v>87</v>
      </c>
      <c r="AT99" s="90"/>
      <c r="AU99" s="89"/>
      <c r="AV99" s="90"/>
      <c r="AW99" s="89"/>
      <c r="AX99" s="89"/>
      <c r="AY99" s="93"/>
      <c r="AZ99" s="89"/>
      <c r="BA99" s="92">
        <f t="shared" si="136"/>
        <v>64</v>
      </c>
      <c r="BB99" s="89"/>
    </row>
    <row r="100" ht="15.75" customHeight="1">
      <c r="A100" s="46"/>
      <c r="B100" s="47">
        <f t="shared" si="2"/>
        <v>97</v>
      </c>
      <c r="C100" s="94">
        <f t="shared" si="3"/>
        <v>46083</v>
      </c>
      <c r="D100" s="56"/>
      <c r="E100" s="195"/>
      <c r="F100" s="195"/>
      <c r="G100" s="195"/>
      <c r="H100" s="195"/>
      <c r="I100" s="195"/>
      <c r="J100" s="195"/>
      <c r="K100" s="195"/>
      <c r="L100" s="195"/>
      <c r="M100" s="195"/>
      <c r="N100" s="195"/>
      <c r="O100" s="195"/>
      <c r="P100" s="195"/>
      <c r="Q100" s="195"/>
      <c r="R100" s="195"/>
      <c r="S100" s="195"/>
      <c r="T100" s="195"/>
      <c r="U100" s="333"/>
      <c r="V100" s="156"/>
      <c r="W100" s="195"/>
      <c r="X100" s="156"/>
      <c r="Y100" s="156"/>
      <c r="Z100" s="156"/>
      <c r="AA100" s="156"/>
      <c r="AB100" s="156"/>
      <c r="AC100" s="156"/>
      <c r="AD100" s="281"/>
      <c r="AE100" s="281"/>
      <c r="AF100" s="282"/>
      <c r="AG100" s="334">
        <f t="shared" si="138"/>
        <v>9</v>
      </c>
      <c r="AH100" s="195"/>
      <c r="AI100" s="195"/>
      <c r="AJ100" s="195"/>
      <c r="AK100" s="195"/>
      <c r="AL100" s="195"/>
      <c r="AM100" s="202">
        <f t="shared" ref="AM100:AN100" si="144">AM99+1</f>
        <v>97</v>
      </c>
      <c r="AN100" s="202">
        <f t="shared" si="144"/>
        <v>97</v>
      </c>
      <c r="AO100" s="337"/>
      <c r="AP100" s="163">
        <f t="shared" si="13"/>
        <v>88</v>
      </c>
      <c r="AQ100" s="202"/>
      <c r="AR100" s="163"/>
      <c r="AS100" s="163">
        <f t="shared" si="14"/>
        <v>88</v>
      </c>
      <c r="AT100" s="284"/>
      <c r="AU100" s="202"/>
      <c r="AV100" s="162"/>
      <c r="AW100" s="202"/>
      <c r="AX100" s="202"/>
      <c r="AY100" s="165"/>
      <c r="AZ100" s="338"/>
      <c r="BA100" s="163">
        <f t="shared" si="136"/>
        <v>65</v>
      </c>
      <c r="BB100" s="339"/>
    </row>
    <row r="101" ht="15.75" customHeight="1">
      <c r="A101" s="64" t="s">
        <v>127</v>
      </c>
      <c r="B101" s="65">
        <f t="shared" si="2"/>
        <v>98</v>
      </c>
      <c r="C101" s="66">
        <f t="shared" si="3"/>
        <v>46090</v>
      </c>
      <c r="D101" s="72"/>
      <c r="E101" s="72"/>
      <c r="F101" s="72"/>
      <c r="G101" s="72"/>
      <c r="H101" s="72"/>
      <c r="I101" s="72"/>
      <c r="J101" s="72"/>
      <c r="K101" s="72"/>
      <c r="L101" s="72"/>
      <c r="M101" s="72"/>
      <c r="N101" s="72"/>
      <c r="O101" s="72"/>
      <c r="P101" s="72"/>
      <c r="Q101" s="72"/>
      <c r="R101" s="72"/>
      <c r="S101" s="72"/>
      <c r="T101" s="72"/>
      <c r="U101" s="321"/>
      <c r="V101" s="70"/>
      <c r="W101" s="72"/>
      <c r="X101" s="70"/>
      <c r="Y101" s="70"/>
      <c r="Z101" s="70"/>
      <c r="AA101" s="70"/>
      <c r="AB101" s="70"/>
      <c r="AC101" s="70"/>
      <c r="AD101" s="299"/>
      <c r="AE101" s="299"/>
      <c r="AF101" s="300"/>
      <c r="AG101" s="317">
        <f t="shared" si="138"/>
        <v>10</v>
      </c>
      <c r="AH101" s="72"/>
      <c r="AI101" s="72"/>
      <c r="AJ101" s="72"/>
      <c r="AK101" s="72"/>
      <c r="AL101" s="72"/>
      <c r="AM101" s="73">
        <f t="shared" ref="AM101:AN101" si="145">AM100+1</f>
        <v>98</v>
      </c>
      <c r="AN101" s="73">
        <f t="shared" si="145"/>
        <v>98</v>
      </c>
      <c r="AO101" s="74"/>
      <c r="AP101" s="78">
        <f t="shared" si="13"/>
        <v>89</v>
      </c>
      <c r="AQ101" s="73"/>
      <c r="AR101" s="78"/>
      <c r="AS101" s="78">
        <f t="shared" si="14"/>
        <v>89</v>
      </c>
      <c r="AT101" s="74"/>
      <c r="AU101" s="73"/>
      <c r="AV101" s="74"/>
      <c r="AW101" s="73"/>
      <c r="AX101" s="73"/>
      <c r="AY101" s="79"/>
      <c r="AZ101" s="73"/>
      <c r="BA101" s="78">
        <f t="shared" si="136"/>
        <v>66</v>
      </c>
      <c r="BB101" s="73"/>
    </row>
    <row r="102" ht="15.75" customHeight="1">
      <c r="A102" s="133">
        <f>C100</f>
        <v>46083</v>
      </c>
      <c r="B102" s="65">
        <f t="shared" si="2"/>
        <v>99</v>
      </c>
      <c r="C102" s="66">
        <f t="shared" si="3"/>
        <v>46097</v>
      </c>
      <c r="D102" s="70"/>
      <c r="E102" s="70"/>
      <c r="F102" s="70"/>
      <c r="G102" s="70"/>
      <c r="H102" s="70"/>
      <c r="I102" s="70"/>
      <c r="J102" s="70"/>
      <c r="K102" s="70"/>
      <c r="L102" s="70"/>
      <c r="M102" s="70"/>
      <c r="N102" s="70"/>
      <c r="O102" s="70"/>
      <c r="P102" s="70"/>
      <c r="Q102" s="70"/>
      <c r="R102" s="70"/>
      <c r="S102" s="70"/>
      <c r="T102" s="70"/>
      <c r="U102" s="321"/>
      <c r="V102" s="70"/>
      <c r="W102" s="70"/>
      <c r="X102" s="70"/>
      <c r="Y102" s="70"/>
      <c r="Z102" s="70"/>
      <c r="AA102" s="70"/>
      <c r="AB102" s="70"/>
      <c r="AC102" s="70"/>
      <c r="AD102" s="299"/>
      <c r="AE102" s="299"/>
      <c r="AF102" s="300"/>
      <c r="AG102" s="317">
        <f t="shared" si="138"/>
        <v>11</v>
      </c>
      <c r="AH102" s="70"/>
      <c r="AI102" s="70"/>
      <c r="AJ102" s="70"/>
      <c r="AK102" s="70"/>
      <c r="AL102" s="70"/>
      <c r="AM102" s="73">
        <f t="shared" ref="AM102:AN102" si="146">AM101+1</f>
        <v>99</v>
      </c>
      <c r="AN102" s="73">
        <f t="shared" si="146"/>
        <v>99</v>
      </c>
      <c r="AO102" s="74"/>
      <c r="AP102" s="78">
        <f t="shared" si="13"/>
        <v>90</v>
      </c>
      <c r="AQ102" s="73"/>
      <c r="AR102" s="78"/>
      <c r="AS102" s="78">
        <f t="shared" si="14"/>
        <v>90</v>
      </c>
      <c r="AT102" s="74"/>
      <c r="AU102" s="73"/>
      <c r="AV102" s="74"/>
      <c r="AW102" s="73"/>
      <c r="AX102" s="73"/>
      <c r="AY102" s="79"/>
      <c r="AZ102" s="73"/>
      <c r="BA102" s="78">
        <f t="shared" si="136"/>
        <v>67</v>
      </c>
      <c r="BB102" s="73"/>
    </row>
    <row r="103" ht="15.75" customHeight="1">
      <c r="A103" s="64"/>
      <c r="B103" s="65">
        <f t="shared" si="2"/>
        <v>100</v>
      </c>
      <c r="C103" s="66">
        <f t="shared" si="3"/>
        <v>46104</v>
      </c>
      <c r="D103" s="70"/>
      <c r="E103" s="70"/>
      <c r="F103" s="70"/>
      <c r="G103" s="70"/>
      <c r="H103" s="70"/>
      <c r="I103" s="70"/>
      <c r="J103" s="70"/>
      <c r="K103" s="70"/>
      <c r="L103" s="70"/>
      <c r="M103" s="70"/>
      <c r="N103" s="70"/>
      <c r="O103" s="70"/>
      <c r="P103" s="70"/>
      <c r="Q103" s="70"/>
      <c r="R103" s="70"/>
      <c r="S103" s="70"/>
      <c r="T103" s="70"/>
      <c r="U103" s="321"/>
      <c r="V103" s="70"/>
      <c r="W103" s="70"/>
      <c r="X103" s="70"/>
      <c r="Y103" s="70"/>
      <c r="Z103" s="70"/>
      <c r="AA103" s="70"/>
      <c r="AB103" s="70"/>
      <c r="AC103" s="70"/>
      <c r="AD103" s="299"/>
      <c r="AE103" s="299"/>
      <c r="AF103" s="300"/>
      <c r="AG103" s="317">
        <f t="shared" si="138"/>
        <v>12</v>
      </c>
      <c r="AH103" s="70"/>
      <c r="AI103" s="70"/>
      <c r="AJ103" s="70"/>
      <c r="AK103" s="70"/>
      <c r="AL103" s="70"/>
      <c r="AM103" s="73">
        <f t="shared" ref="AM103:AN103" si="147">AM102+1</f>
        <v>100</v>
      </c>
      <c r="AN103" s="73">
        <f t="shared" si="147"/>
        <v>100</v>
      </c>
      <c r="AO103" s="74"/>
      <c r="AP103" s="78">
        <f t="shared" si="13"/>
        <v>91</v>
      </c>
      <c r="AQ103" s="73"/>
      <c r="AR103" s="78"/>
      <c r="AS103" s="78">
        <f t="shared" si="14"/>
        <v>91</v>
      </c>
      <c r="AT103" s="74"/>
      <c r="AU103" s="73"/>
      <c r="AV103" s="74"/>
      <c r="AW103" s="73"/>
      <c r="AX103" s="73"/>
      <c r="AY103" s="79"/>
      <c r="AZ103" s="73"/>
      <c r="BA103" s="78">
        <f t="shared" si="136"/>
        <v>68</v>
      </c>
      <c r="BB103" s="73"/>
    </row>
    <row r="104" ht="15.75" customHeight="1">
      <c r="A104" s="336"/>
      <c r="B104" s="82">
        <f t="shared" si="2"/>
        <v>101</v>
      </c>
      <c r="C104" s="83">
        <f t="shared" si="3"/>
        <v>46111</v>
      </c>
      <c r="D104" s="84"/>
      <c r="E104" s="84"/>
      <c r="F104" s="84"/>
      <c r="G104" s="84"/>
      <c r="H104" s="84"/>
      <c r="I104" s="84"/>
      <c r="J104" s="84"/>
      <c r="K104" s="84"/>
      <c r="L104" s="84"/>
      <c r="M104" s="84"/>
      <c r="N104" s="84"/>
      <c r="O104" s="84"/>
      <c r="P104" s="84"/>
      <c r="Q104" s="84"/>
      <c r="R104" s="84"/>
      <c r="S104" s="84"/>
      <c r="T104" s="84"/>
      <c r="U104" s="340"/>
      <c r="V104" s="86"/>
      <c r="W104" s="84"/>
      <c r="X104" s="84"/>
      <c r="Y104" s="86"/>
      <c r="Z104" s="86"/>
      <c r="AA104" s="86"/>
      <c r="AB104" s="86"/>
      <c r="AC104" s="86"/>
      <c r="AD104" s="341" t="s">
        <v>128</v>
      </c>
      <c r="AE104" s="342"/>
      <c r="AF104" s="343"/>
      <c r="AG104" s="344">
        <v>13.0</v>
      </c>
      <c r="AH104" s="84"/>
      <c r="AI104" s="84"/>
      <c r="AJ104" s="84"/>
      <c r="AK104" s="84"/>
      <c r="AL104" s="84"/>
      <c r="AM104" s="89">
        <f t="shared" ref="AM104:AN104" si="148">AM103+1</f>
        <v>101</v>
      </c>
      <c r="AN104" s="89">
        <f t="shared" si="148"/>
        <v>101</v>
      </c>
      <c r="AO104" s="345"/>
      <c r="AP104" s="92">
        <f t="shared" si="13"/>
        <v>92</v>
      </c>
      <c r="AQ104" s="89"/>
      <c r="AR104" s="92"/>
      <c r="AS104" s="92">
        <f t="shared" si="14"/>
        <v>92</v>
      </c>
      <c r="AT104" s="275"/>
      <c r="AU104" s="89"/>
      <c r="AV104" s="90"/>
      <c r="AW104" s="89"/>
      <c r="AX104" s="89"/>
      <c r="AY104" s="93"/>
      <c r="AZ104" s="123"/>
      <c r="BA104" s="92">
        <f t="shared" si="136"/>
        <v>69</v>
      </c>
      <c r="BB104" s="346"/>
    </row>
    <row r="105" ht="15.75" customHeight="1">
      <c r="A105" s="46"/>
      <c r="B105" s="193">
        <f t="shared" si="2"/>
        <v>102</v>
      </c>
      <c r="C105" s="194">
        <f t="shared" si="3"/>
        <v>46118</v>
      </c>
      <c r="D105" s="195"/>
      <c r="E105" s="195"/>
      <c r="F105" s="195"/>
      <c r="G105" s="195"/>
      <c r="H105" s="195"/>
      <c r="I105" s="195"/>
      <c r="J105" s="195"/>
      <c r="K105" s="195"/>
      <c r="L105" s="195"/>
      <c r="M105" s="195"/>
      <c r="N105" s="195"/>
      <c r="O105" s="195"/>
      <c r="P105" s="195"/>
      <c r="Q105" s="195"/>
      <c r="R105" s="195"/>
      <c r="S105" s="195"/>
      <c r="T105" s="195"/>
      <c r="U105" s="311"/>
      <c r="V105" s="156"/>
      <c r="W105" s="195"/>
      <c r="X105" s="195"/>
      <c r="Y105" s="195"/>
      <c r="Z105" s="195"/>
      <c r="AA105" s="195"/>
      <c r="AB105" s="195"/>
      <c r="AC105" s="195"/>
      <c r="AD105" s="347" t="s">
        <v>129</v>
      </c>
      <c r="AE105" s="348"/>
      <c r="AF105" s="349"/>
      <c r="AG105" s="350">
        <v>14.0</v>
      </c>
      <c r="AH105" s="195"/>
      <c r="AI105" s="195"/>
      <c r="AJ105" s="195"/>
      <c r="AK105" s="195"/>
      <c r="AL105" s="195"/>
      <c r="AM105" s="202">
        <f t="shared" ref="AM105:AN105" si="149">AM104+1</f>
        <v>102</v>
      </c>
      <c r="AN105" s="202">
        <f t="shared" si="149"/>
        <v>102</v>
      </c>
      <c r="AO105" s="162"/>
      <c r="AP105" s="163">
        <f t="shared" si="13"/>
        <v>93</v>
      </c>
      <c r="AQ105" s="202"/>
      <c r="AR105" s="163"/>
      <c r="AS105" s="163">
        <f t="shared" si="14"/>
        <v>93</v>
      </c>
      <c r="AT105" s="162"/>
      <c r="AU105" s="202"/>
      <c r="AV105" s="162"/>
      <c r="AW105" s="202"/>
      <c r="AX105" s="202"/>
      <c r="AY105" s="165"/>
      <c r="AZ105" s="202"/>
      <c r="BA105" s="163">
        <f t="shared" si="136"/>
        <v>70</v>
      </c>
      <c r="BB105" s="202"/>
    </row>
    <row r="106" ht="15.75" customHeight="1">
      <c r="A106" s="64" t="s">
        <v>130</v>
      </c>
      <c r="B106" s="65">
        <f t="shared" si="2"/>
        <v>103</v>
      </c>
      <c r="C106" s="66">
        <f t="shared" si="3"/>
        <v>46125</v>
      </c>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347"/>
      <c r="AE106" s="351"/>
      <c r="AF106" s="352"/>
      <c r="AG106" s="353">
        <v>15.0</v>
      </c>
      <c r="AH106" s="70"/>
      <c r="AI106" s="70"/>
      <c r="AJ106" s="70"/>
      <c r="AK106" s="70"/>
      <c r="AL106" s="70"/>
      <c r="AM106" s="73">
        <f t="shared" ref="AM106:AN106" si="150">AM105+1</f>
        <v>103</v>
      </c>
      <c r="AN106" s="73">
        <f t="shared" si="150"/>
        <v>103</v>
      </c>
      <c r="AO106" s="74"/>
      <c r="AP106" s="78">
        <f t="shared" si="13"/>
        <v>94</v>
      </c>
      <c r="AQ106" s="73"/>
      <c r="AR106" s="78"/>
      <c r="AS106" s="78">
        <f t="shared" si="14"/>
        <v>94</v>
      </c>
      <c r="AT106" s="74"/>
      <c r="AU106" s="73"/>
      <c r="AV106" s="74"/>
      <c r="AW106" s="73"/>
      <c r="AX106" s="73"/>
      <c r="AY106" s="79"/>
      <c r="AZ106" s="73"/>
      <c r="BA106" s="78">
        <f t="shared" si="136"/>
        <v>71</v>
      </c>
      <c r="BB106" s="73"/>
    </row>
    <row r="107" ht="15.75" customHeight="1">
      <c r="A107" s="133">
        <f>C105</f>
        <v>46118</v>
      </c>
      <c r="B107" s="65">
        <f t="shared" si="2"/>
        <v>104</v>
      </c>
      <c r="C107" s="66">
        <f t="shared" si="3"/>
        <v>46132</v>
      </c>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354"/>
      <c r="AE107" s="351"/>
      <c r="AF107" s="352"/>
      <c r="AG107" s="353">
        <v>16.0</v>
      </c>
      <c r="AH107" s="70"/>
      <c r="AI107" s="70"/>
      <c r="AJ107" s="70"/>
      <c r="AK107" s="70"/>
      <c r="AL107" s="70"/>
      <c r="AM107" s="73">
        <f t="shared" ref="AM107:AN107" si="151">AM106+1</f>
        <v>104</v>
      </c>
      <c r="AN107" s="73">
        <f t="shared" si="151"/>
        <v>104</v>
      </c>
      <c r="AO107" s="74"/>
      <c r="AP107" s="78">
        <f t="shared" si="13"/>
        <v>95</v>
      </c>
      <c r="AQ107" s="73"/>
      <c r="AR107" s="78"/>
      <c r="AS107" s="78">
        <f t="shared" si="14"/>
        <v>95</v>
      </c>
      <c r="AT107" s="74"/>
      <c r="AU107" s="73"/>
      <c r="AV107" s="74"/>
      <c r="AW107" s="73"/>
      <c r="AX107" s="73"/>
      <c r="AY107" s="79"/>
      <c r="AZ107" s="73"/>
      <c r="BA107" s="78">
        <f t="shared" si="136"/>
        <v>72</v>
      </c>
      <c r="BB107" s="73"/>
    </row>
    <row r="108" ht="15.75" customHeight="1">
      <c r="A108" s="336"/>
      <c r="B108" s="82">
        <f t="shared" si="2"/>
        <v>105</v>
      </c>
      <c r="C108" s="83">
        <f t="shared" si="3"/>
        <v>46139</v>
      </c>
      <c r="D108" s="84"/>
      <c r="E108" s="84"/>
      <c r="F108" s="84"/>
      <c r="G108" s="84"/>
      <c r="H108" s="84"/>
      <c r="I108" s="84"/>
      <c r="J108" s="84"/>
      <c r="K108" s="84"/>
      <c r="L108" s="84"/>
      <c r="M108" s="84"/>
      <c r="N108" s="84"/>
      <c r="O108" s="84"/>
      <c r="P108" s="84"/>
      <c r="Q108" s="84"/>
      <c r="R108" s="84"/>
      <c r="S108" s="84"/>
      <c r="T108" s="84"/>
      <c r="U108" s="86"/>
      <c r="V108" s="86"/>
      <c r="W108" s="84"/>
      <c r="X108" s="84"/>
      <c r="Y108" s="86"/>
      <c r="Z108" s="86"/>
      <c r="AA108" s="86"/>
      <c r="AB108" s="86"/>
      <c r="AC108" s="86"/>
      <c r="AD108" s="88"/>
      <c r="AE108" s="88"/>
      <c r="AF108" s="251"/>
      <c r="AG108" s="86"/>
      <c r="AH108" s="84"/>
      <c r="AI108" s="355" t="s">
        <v>131</v>
      </c>
      <c r="AJ108" s="356"/>
      <c r="AK108" s="356"/>
      <c r="AL108" s="84"/>
      <c r="AM108" s="357">
        <f t="shared" ref="AM108:AN108" si="152">AM107/4.33</f>
        <v>24.01847575</v>
      </c>
      <c r="AN108" s="357">
        <f t="shared" si="152"/>
        <v>24.01847575</v>
      </c>
      <c r="AO108" s="345"/>
      <c r="AP108" s="357">
        <f>AP107/4.33</f>
        <v>21.93995381</v>
      </c>
      <c r="AQ108" s="89"/>
      <c r="AR108" s="92"/>
      <c r="AS108" s="357">
        <f>AS107/4.33</f>
        <v>21.93995381</v>
      </c>
      <c r="AT108" s="275"/>
      <c r="AU108" s="89"/>
      <c r="AV108" s="90"/>
      <c r="AW108" s="89"/>
      <c r="AX108" s="89"/>
      <c r="AY108" s="93"/>
      <c r="AZ108" s="123"/>
      <c r="BA108" s="357">
        <f>BA107/4.33</f>
        <v>16.62817552</v>
      </c>
      <c r="BB108" s="346"/>
    </row>
    <row r="109" ht="15.75" customHeight="1">
      <c r="A109" s="358"/>
      <c r="B109" s="359"/>
      <c r="C109" s="358"/>
      <c r="D109" s="358"/>
      <c r="E109" s="358"/>
      <c r="F109" s="358"/>
      <c r="G109" s="358"/>
      <c r="H109" s="358"/>
      <c r="I109" s="358"/>
      <c r="J109" s="358"/>
      <c r="K109" s="358"/>
      <c r="L109" s="358"/>
      <c r="M109" s="358"/>
      <c r="N109" s="358"/>
      <c r="O109" s="358"/>
      <c r="P109" s="358"/>
      <c r="Q109" s="358"/>
      <c r="R109" s="358"/>
      <c r="S109" s="358"/>
      <c r="T109" s="358"/>
      <c r="U109" s="358"/>
      <c r="V109" s="358"/>
      <c r="W109" s="358"/>
      <c r="X109" s="358"/>
      <c r="Y109" s="358"/>
      <c r="Z109" s="358"/>
      <c r="AA109" s="358"/>
      <c r="AB109" s="358"/>
      <c r="AC109" s="358"/>
      <c r="AD109" s="358"/>
      <c r="AE109" s="358"/>
      <c r="AF109" s="358"/>
      <c r="AG109" s="360"/>
      <c r="AH109" s="358"/>
      <c r="AI109" s="361" t="s">
        <v>132</v>
      </c>
      <c r="AJ109" s="362"/>
      <c r="AK109" s="362"/>
      <c r="AL109" s="358"/>
      <c r="AM109" s="363" t="s">
        <v>112</v>
      </c>
      <c r="AN109" s="363" t="s">
        <v>112</v>
      </c>
      <c r="AO109" s="358"/>
      <c r="AP109" s="363" t="s">
        <v>112</v>
      </c>
      <c r="AQ109" s="364"/>
      <c r="AR109" s="364"/>
      <c r="AS109" s="363" t="s">
        <v>112</v>
      </c>
      <c r="AT109" s="358"/>
      <c r="AU109" s="358"/>
      <c r="AV109" s="358"/>
      <c r="AW109" s="358"/>
      <c r="AX109" s="358"/>
      <c r="AY109" s="365"/>
      <c r="AZ109" s="358"/>
      <c r="BA109" s="363" t="s">
        <v>112</v>
      </c>
      <c r="BB109" s="358"/>
    </row>
    <row r="110" ht="15.75" customHeight="1">
      <c r="A110" s="358"/>
      <c r="B110" s="359"/>
      <c r="C110" s="358"/>
      <c r="D110" s="358"/>
      <c r="E110" s="358"/>
      <c r="F110" s="358"/>
      <c r="G110" s="358"/>
      <c r="H110" s="358"/>
      <c r="I110" s="358"/>
      <c r="J110" s="358"/>
      <c r="K110" s="358"/>
      <c r="L110" s="358"/>
      <c r="M110" s="358"/>
      <c r="N110" s="358"/>
      <c r="O110" s="358"/>
      <c r="P110" s="358"/>
      <c r="Q110" s="358"/>
      <c r="R110" s="358"/>
      <c r="S110" s="358"/>
      <c r="T110" s="358"/>
      <c r="U110" s="358"/>
      <c r="V110" s="358"/>
      <c r="W110" s="358"/>
      <c r="X110" s="358"/>
      <c r="Y110" s="358"/>
      <c r="Z110" s="358"/>
      <c r="AA110" s="358"/>
      <c r="AB110" s="358"/>
      <c r="AC110" s="358"/>
      <c r="AD110" s="358"/>
      <c r="AE110" s="358"/>
      <c r="AF110" s="358"/>
      <c r="AG110" s="358"/>
      <c r="AH110" s="358"/>
      <c r="AI110" s="358"/>
      <c r="AJ110" s="358"/>
      <c r="AK110" s="358"/>
      <c r="AL110" s="358"/>
      <c r="AM110" s="366"/>
      <c r="AN110" s="366"/>
      <c r="AO110" s="358"/>
      <c r="AP110" s="366"/>
      <c r="AQ110" s="366"/>
      <c r="AR110" s="366"/>
      <c r="AS110" s="366"/>
      <c r="AT110" s="358"/>
      <c r="AU110" s="358"/>
      <c r="AV110" s="358"/>
      <c r="AW110" s="358"/>
      <c r="AX110" s="358"/>
      <c r="AY110" s="365"/>
      <c r="AZ110" s="358"/>
      <c r="BA110" s="366"/>
      <c r="BB110" s="358"/>
    </row>
    <row r="111" ht="15.75" customHeight="1">
      <c r="A111" s="358"/>
      <c r="B111" s="359"/>
      <c r="C111" s="40"/>
      <c r="D111" s="358"/>
      <c r="E111" s="358"/>
      <c r="F111" s="358"/>
      <c r="G111" s="358"/>
      <c r="H111" s="358"/>
      <c r="I111" s="358"/>
      <c r="J111" s="40"/>
      <c r="K111" s="40"/>
      <c r="L111" s="40"/>
      <c r="M111" s="40"/>
      <c r="N111" s="40"/>
      <c r="O111" s="40"/>
      <c r="P111" s="358"/>
      <c r="Q111" s="358"/>
      <c r="R111" s="358"/>
      <c r="S111" s="358"/>
      <c r="T111" s="358"/>
      <c r="U111" s="358"/>
      <c r="V111" s="358"/>
      <c r="W111" s="358"/>
      <c r="X111" s="358"/>
      <c r="Y111" s="358"/>
      <c r="Z111" s="358"/>
      <c r="AA111" s="358"/>
      <c r="AB111" s="358"/>
      <c r="AC111" s="358"/>
      <c r="AD111" s="358"/>
      <c r="AE111" s="358"/>
      <c r="AF111" s="358"/>
      <c r="AG111" s="358"/>
      <c r="AH111" s="358"/>
      <c r="AI111" s="358"/>
      <c r="AJ111" s="358"/>
      <c r="AK111" s="358"/>
      <c r="AL111" s="358"/>
      <c r="AM111" s="358"/>
      <c r="AN111" s="358"/>
      <c r="AO111" s="358"/>
      <c r="AP111" s="358"/>
      <c r="AQ111" s="358"/>
      <c r="AR111" s="358"/>
      <c r="AS111" s="358"/>
      <c r="AT111" s="358"/>
      <c r="AU111" s="358"/>
      <c r="AV111" s="358"/>
      <c r="AW111" s="358"/>
      <c r="AX111" s="358"/>
      <c r="AY111" s="365"/>
      <c r="AZ111" s="358"/>
      <c r="BA111" s="358"/>
      <c r="BB111" s="358"/>
    </row>
    <row r="112" ht="15.75" customHeight="1">
      <c r="A112" s="358"/>
      <c r="B112" s="359"/>
      <c r="C112" s="40"/>
      <c r="D112" s="358"/>
      <c r="E112" s="358"/>
      <c r="F112" s="358"/>
      <c r="G112" s="358"/>
      <c r="H112" s="358"/>
      <c r="I112" s="358"/>
      <c r="J112" s="40"/>
      <c r="K112" s="40"/>
      <c r="L112" s="40"/>
      <c r="M112" s="40"/>
      <c r="N112" s="40"/>
      <c r="O112" s="40"/>
      <c r="P112" s="358"/>
      <c r="Q112" s="358"/>
      <c r="R112" s="358"/>
      <c r="S112" s="358"/>
      <c r="T112" s="358"/>
      <c r="U112" s="358"/>
      <c r="V112" s="358"/>
      <c r="W112" s="358"/>
      <c r="X112" s="358"/>
      <c r="Y112" s="358"/>
      <c r="Z112" s="358"/>
      <c r="AA112" s="358"/>
      <c r="AB112" s="358"/>
      <c r="AC112" s="358"/>
      <c r="AD112" s="358"/>
      <c r="AE112" s="358"/>
      <c r="AF112" s="358"/>
      <c r="AG112" s="358"/>
      <c r="AH112" s="358"/>
      <c r="AI112" s="358"/>
      <c r="AJ112" s="358"/>
      <c r="AK112" s="358"/>
      <c r="AL112" s="358"/>
      <c r="AM112" s="358"/>
      <c r="AN112" s="358"/>
      <c r="AO112" s="358"/>
      <c r="AP112" s="358"/>
      <c r="AQ112" s="358"/>
      <c r="AR112" s="358"/>
      <c r="AS112" s="358"/>
      <c r="AT112" s="358"/>
      <c r="AU112" s="358"/>
      <c r="AV112" s="358"/>
      <c r="AW112" s="358"/>
      <c r="AX112" s="358"/>
      <c r="AY112" s="365"/>
      <c r="AZ112" s="358"/>
      <c r="BA112" s="358"/>
      <c r="BB112" s="358"/>
    </row>
    <row r="113" ht="14.25" customHeight="1">
      <c r="A113" s="358"/>
      <c r="B113" s="359"/>
      <c r="C113" s="367"/>
      <c r="D113" s="358"/>
      <c r="E113" s="358"/>
      <c r="F113" s="358"/>
      <c r="G113" s="358"/>
      <c r="H113" s="358"/>
      <c r="I113" s="358"/>
      <c r="J113" s="40"/>
      <c r="K113" s="40"/>
      <c r="L113" s="40"/>
      <c r="M113" s="40"/>
      <c r="N113" s="40"/>
      <c r="O113" s="368"/>
      <c r="P113" s="368"/>
      <c r="Q113" s="368"/>
      <c r="R113" s="368"/>
      <c r="S113" s="368"/>
      <c r="T113" s="368"/>
      <c r="U113" s="368"/>
      <c r="V113" s="368"/>
      <c r="W113" s="368"/>
      <c r="X113" s="368"/>
      <c r="Y113" s="368"/>
      <c r="Z113" s="368"/>
      <c r="AA113" s="368"/>
      <c r="AB113" s="368"/>
      <c r="AC113" s="358"/>
      <c r="AD113" s="358"/>
      <c r="AE113" s="358"/>
      <c r="AF113" s="358"/>
      <c r="AG113" s="358"/>
      <c r="AH113" s="358"/>
      <c r="AI113" s="358"/>
      <c r="AJ113" s="358"/>
      <c r="AK113" s="358"/>
      <c r="AL113" s="358"/>
      <c r="AM113" s="358"/>
      <c r="AN113" s="358"/>
      <c r="AO113" s="358"/>
      <c r="AP113" s="358"/>
      <c r="AQ113" s="358"/>
      <c r="AR113" s="358"/>
      <c r="AS113" s="358"/>
      <c r="AT113" s="358"/>
      <c r="AU113" s="358"/>
      <c r="AV113" s="358"/>
      <c r="AW113" s="358"/>
      <c r="AX113" s="358"/>
      <c r="AY113" s="365"/>
      <c r="AZ113" s="358"/>
      <c r="BA113" s="358"/>
      <c r="BB113" s="358"/>
    </row>
    <row r="114" ht="15.75" customHeight="1">
      <c r="A114" s="358"/>
      <c r="B114" s="359"/>
      <c r="C114" s="358"/>
      <c r="D114" s="358"/>
      <c r="E114" s="358"/>
      <c r="F114" s="358"/>
      <c r="G114" s="358"/>
      <c r="H114" s="358"/>
      <c r="I114" s="358"/>
      <c r="J114" s="358"/>
      <c r="K114" s="358"/>
      <c r="L114" s="358"/>
      <c r="M114" s="358"/>
      <c r="N114" s="358"/>
      <c r="O114" s="368"/>
      <c r="P114" s="368"/>
      <c r="Q114" s="368"/>
      <c r="R114" s="368"/>
      <c r="S114" s="368"/>
      <c r="T114" s="368"/>
      <c r="U114" s="368"/>
      <c r="V114" s="368"/>
      <c r="W114" s="368"/>
      <c r="X114" s="368"/>
      <c r="Y114" s="368"/>
      <c r="Z114" s="368"/>
      <c r="AA114" s="368"/>
      <c r="AB114" s="368"/>
      <c r="AC114" s="358"/>
      <c r="AD114" s="358"/>
      <c r="AE114" s="358"/>
      <c r="AF114" s="358"/>
      <c r="AG114" s="358"/>
      <c r="AH114" s="358"/>
      <c r="AI114" s="358"/>
      <c r="AJ114" s="358"/>
      <c r="AK114" s="358"/>
      <c r="AL114" s="358"/>
      <c r="AM114" s="358"/>
      <c r="AN114" s="358"/>
      <c r="AO114" s="358"/>
      <c r="AP114" s="358"/>
      <c r="AQ114" s="358"/>
      <c r="AR114" s="358"/>
      <c r="AS114" s="358"/>
      <c r="AT114" s="358"/>
      <c r="AU114" s="358"/>
      <c r="AV114" s="358"/>
      <c r="AW114" s="358"/>
      <c r="AX114" s="358"/>
      <c r="AY114" s="365"/>
      <c r="AZ114" s="358"/>
      <c r="BA114" s="358"/>
      <c r="BB114" s="358"/>
    </row>
    <row r="115" ht="15.75" customHeight="1">
      <c r="A115" s="358"/>
      <c r="B115" s="359"/>
      <c r="C115" s="367"/>
      <c r="D115" s="358"/>
      <c r="E115" s="40"/>
      <c r="F115" s="40"/>
      <c r="G115" s="40"/>
      <c r="H115" s="40"/>
      <c r="I115" s="40"/>
      <c r="J115" s="358"/>
      <c r="K115" s="358"/>
      <c r="L115" s="358"/>
      <c r="M115" s="358"/>
      <c r="N115" s="358"/>
      <c r="O115" s="368"/>
      <c r="P115" s="368"/>
      <c r="Q115" s="368"/>
      <c r="R115" s="368"/>
      <c r="S115" s="368"/>
      <c r="T115" s="368"/>
      <c r="U115" s="368"/>
      <c r="V115" s="368"/>
      <c r="W115" s="368"/>
      <c r="X115" s="368"/>
      <c r="Y115" s="368"/>
      <c r="Z115" s="368"/>
      <c r="AA115" s="368"/>
      <c r="AB115" s="368"/>
      <c r="AC115" s="358"/>
      <c r="AD115" s="358"/>
      <c r="AE115" s="358"/>
      <c r="AF115" s="358"/>
      <c r="AG115" s="358"/>
      <c r="AH115" s="40"/>
      <c r="AI115" s="40"/>
      <c r="AJ115" s="40"/>
      <c r="AK115" s="40"/>
      <c r="AL115" s="40"/>
      <c r="AM115" s="358"/>
      <c r="AN115" s="358"/>
      <c r="AO115" s="358"/>
      <c r="AP115" s="358"/>
      <c r="AQ115" s="358"/>
      <c r="AR115" s="358"/>
      <c r="AS115" s="358"/>
      <c r="AT115" s="358"/>
      <c r="AU115" s="358"/>
      <c r="AV115" s="358"/>
      <c r="AW115" s="358"/>
      <c r="AX115" s="358"/>
      <c r="AY115" s="365"/>
      <c r="AZ115" s="358"/>
      <c r="BA115" s="358"/>
      <c r="BB115" s="358"/>
    </row>
    <row r="116" ht="15.75" customHeight="1">
      <c r="A116" s="358"/>
      <c r="B116" s="359"/>
      <c r="C116" s="40"/>
      <c r="D116" s="358"/>
      <c r="E116" s="40"/>
      <c r="F116" s="40"/>
      <c r="G116" s="40"/>
      <c r="H116" s="40"/>
      <c r="I116" s="40"/>
      <c r="J116" s="358"/>
      <c r="K116" s="358"/>
      <c r="L116" s="358"/>
      <c r="M116" s="358"/>
      <c r="N116" s="358"/>
      <c r="O116" s="368"/>
      <c r="P116" s="368"/>
      <c r="Q116" s="368"/>
      <c r="R116" s="368"/>
      <c r="S116" s="368"/>
      <c r="T116" s="368"/>
      <c r="U116" s="368"/>
      <c r="V116" s="368"/>
      <c r="W116" s="368"/>
      <c r="X116" s="368"/>
      <c r="Y116" s="368"/>
      <c r="Z116" s="368"/>
      <c r="AA116" s="368"/>
      <c r="AB116" s="368"/>
      <c r="AC116" s="358"/>
      <c r="AD116" s="358"/>
      <c r="AE116" s="358"/>
      <c r="AF116" s="358"/>
      <c r="AG116" s="358"/>
      <c r="AH116" s="40"/>
      <c r="AI116" s="40"/>
      <c r="AJ116" s="40"/>
      <c r="AK116" s="40"/>
      <c r="AL116" s="40"/>
      <c r="AM116" s="358"/>
      <c r="AN116" s="358"/>
      <c r="AO116" s="358"/>
      <c r="AP116" s="358"/>
      <c r="AQ116" s="358"/>
      <c r="AR116" s="358"/>
      <c r="AS116" s="358"/>
      <c r="AT116" s="358"/>
      <c r="AU116" s="358"/>
      <c r="AV116" s="358"/>
      <c r="AW116" s="358"/>
      <c r="AX116" s="358"/>
      <c r="AY116" s="365"/>
      <c r="AZ116" s="358"/>
      <c r="BA116" s="358"/>
      <c r="BB116" s="358"/>
    </row>
    <row r="117" ht="15.75" customHeight="1">
      <c r="A117" s="358"/>
      <c r="B117" s="359"/>
      <c r="C117" s="367"/>
      <c r="D117" s="358"/>
      <c r="E117" s="358"/>
      <c r="F117" s="358"/>
      <c r="G117" s="358"/>
      <c r="H117" s="358"/>
      <c r="I117" s="358"/>
      <c r="J117" s="358"/>
      <c r="K117" s="358"/>
      <c r="L117" s="358"/>
      <c r="M117" s="358"/>
      <c r="N117" s="358"/>
      <c r="O117" s="368"/>
      <c r="P117" s="368"/>
      <c r="Q117" s="368"/>
      <c r="R117" s="368"/>
      <c r="S117" s="368"/>
      <c r="T117" s="368"/>
      <c r="U117" s="368"/>
      <c r="V117" s="368"/>
      <c r="W117" s="368"/>
      <c r="X117" s="368"/>
      <c r="Y117" s="368"/>
      <c r="Z117" s="368"/>
      <c r="AA117" s="368"/>
      <c r="AB117" s="368"/>
      <c r="AC117" s="358"/>
      <c r="AD117" s="358"/>
      <c r="AE117" s="358"/>
      <c r="AF117" s="358"/>
      <c r="AG117" s="358"/>
      <c r="AH117" s="358"/>
      <c r="AI117" s="358"/>
      <c r="AJ117" s="358"/>
      <c r="AK117" s="358"/>
      <c r="AL117" s="358"/>
      <c r="AM117" s="358"/>
      <c r="AN117" s="358"/>
      <c r="AO117" s="358"/>
      <c r="AP117" s="358"/>
      <c r="AQ117" s="358"/>
      <c r="AR117" s="358"/>
      <c r="AS117" s="358"/>
      <c r="AT117" s="358"/>
      <c r="AU117" s="358"/>
      <c r="AV117" s="358"/>
      <c r="AW117" s="358"/>
      <c r="AX117" s="358"/>
      <c r="AY117" s="365"/>
      <c r="AZ117" s="358"/>
      <c r="BA117" s="358"/>
      <c r="BB117" s="358"/>
    </row>
    <row r="118" ht="15.75" customHeight="1">
      <c r="A118" s="358"/>
      <c r="B118" s="359"/>
      <c r="C118" s="358"/>
      <c r="D118" s="358"/>
      <c r="E118" s="358"/>
      <c r="F118" s="358"/>
      <c r="G118" s="358"/>
      <c r="H118" s="358"/>
      <c r="I118" s="358"/>
      <c r="J118" s="358"/>
      <c r="K118" s="358"/>
      <c r="L118" s="358"/>
      <c r="M118" s="358"/>
      <c r="N118" s="358"/>
      <c r="O118" s="368"/>
      <c r="P118" s="368"/>
      <c r="Q118" s="368"/>
      <c r="R118" s="368"/>
      <c r="S118" s="368"/>
      <c r="T118" s="368"/>
      <c r="U118" s="368"/>
      <c r="V118" s="368"/>
      <c r="W118" s="368"/>
      <c r="X118" s="368"/>
      <c r="Y118" s="368"/>
      <c r="Z118" s="368"/>
      <c r="AA118" s="368"/>
      <c r="AB118" s="368"/>
      <c r="AC118" s="358"/>
      <c r="AD118" s="358"/>
      <c r="AE118" s="358"/>
      <c r="AF118" s="358"/>
      <c r="AG118" s="358"/>
      <c r="AH118" s="358"/>
      <c r="AI118" s="358"/>
      <c r="AJ118" s="358"/>
      <c r="AK118" s="358"/>
      <c r="AL118" s="358"/>
      <c r="AM118" s="358"/>
      <c r="AN118" s="358"/>
      <c r="AO118" s="358"/>
      <c r="AP118" s="358"/>
      <c r="AQ118" s="358"/>
      <c r="AR118" s="358"/>
      <c r="AS118" s="358"/>
      <c r="AT118" s="358"/>
      <c r="AU118" s="358"/>
      <c r="AV118" s="358"/>
      <c r="AW118" s="358"/>
      <c r="AX118" s="358"/>
      <c r="AY118" s="365"/>
      <c r="AZ118" s="358"/>
      <c r="BA118" s="358"/>
      <c r="BB118" s="358"/>
    </row>
    <row r="119" ht="15.75" customHeight="1">
      <c r="A119" s="358"/>
      <c r="B119" s="359"/>
      <c r="C119" s="367"/>
      <c r="D119" s="358"/>
      <c r="E119" s="358"/>
      <c r="F119" s="358"/>
      <c r="G119" s="358"/>
      <c r="H119" s="358"/>
      <c r="I119" s="358"/>
      <c r="J119" s="358"/>
      <c r="K119" s="358"/>
      <c r="L119" s="358"/>
      <c r="M119" s="358"/>
      <c r="N119" s="358"/>
      <c r="O119" s="368"/>
      <c r="P119" s="368"/>
      <c r="Q119" s="368"/>
      <c r="R119" s="368"/>
      <c r="S119" s="368"/>
      <c r="T119" s="368"/>
      <c r="U119" s="368"/>
      <c r="V119" s="368"/>
      <c r="W119" s="368"/>
      <c r="X119" s="368"/>
      <c r="Y119" s="368"/>
      <c r="Z119" s="368"/>
      <c r="AA119" s="368"/>
      <c r="AB119" s="368"/>
      <c r="AC119" s="358"/>
      <c r="AD119" s="358"/>
      <c r="AE119" s="358"/>
      <c r="AF119" s="358"/>
      <c r="AG119" s="358"/>
      <c r="AH119" s="358"/>
      <c r="AI119" s="358"/>
      <c r="AJ119" s="358"/>
      <c r="AK119" s="358"/>
      <c r="AL119" s="358"/>
      <c r="AM119" s="358"/>
      <c r="AN119" s="358"/>
      <c r="AO119" s="358"/>
      <c r="AP119" s="358"/>
      <c r="AQ119" s="358"/>
      <c r="AR119" s="358"/>
      <c r="AS119" s="358"/>
      <c r="AT119" s="358"/>
      <c r="AU119" s="358"/>
      <c r="AV119" s="358"/>
      <c r="AW119" s="358"/>
      <c r="AX119" s="358"/>
      <c r="AY119" s="365"/>
      <c r="AZ119" s="358"/>
      <c r="BA119" s="358"/>
      <c r="BB119" s="358"/>
    </row>
    <row r="120" ht="15.75" customHeight="1">
      <c r="A120" s="358"/>
      <c r="B120" s="359"/>
      <c r="C120" s="40"/>
      <c r="D120" s="358"/>
      <c r="E120" s="358"/>
      <c r="F120" s="358"/>
      <c r="G120" s="358"/>
      <c r="H120" s="358"/>
      <c r="I120" s="358"/>
      <c r="J120" s="358"/>
      <c r="K120" s="358"/>
      <c r="L120" s="358"/>
      <c r="M120" s="358"/>
      <c r="N120" s="358"/>
      <c r="O120" s="368"/>
      <c r="P120" s="368"/>
      <c r="Q120" s="368"/>
      <c r="R120" s="368"/>
      <c r="S120" s="368"/>
      <c r="T120" s="368"/>
      <c r="U120" s="368"/>
      <c r="V120" s="368"/>
      <c r="W120" s="368"/>
      <c r="X120" s="368"/>
      <c r="Y120" s="368"/>
      <c r="Z120" s="368"/>
      <c r="AA120" s="368"/>
      <c r="AB120" s="368"/>
      <c r="AC120" s="358"/>
      <c r="AD120" s="358"/>
      <c r="AE120" s="358"/>
      <c r="AF120" s="358"/>
      <c r="AG120" s="358"/>
      <c r="AH120" s="358"/>
      <c r="AI120" s="358"/>
      <c r="AJ120" s="358"/>
      <c r="AK120" s="358"/>
      <c r="AL120" s="358"/>
      <c r="AM120" s="358"/>
      <c r="AN120" s="358"/>
      <c r="AO120" s="358"/>
      <c r="AP120" s="358"/>
      <c r="AQ120" s="358"/>
      <c r="AR120" s="358"/>
      <c r="AS120" s="358"/>
      <c r="AT120" s="358"/>
      <c r="AU120" s="358"/>
      <c r="AV120" s="358"/>
      <c r="AW120" s="358"/>
      <c r="AX120" s="358"/>
      <c r="AY120" s="365"/>
      <c r="AZ120" s="358"/>
      <c r="BA120" s="358"/>
      <c r="BB120" s="358"/>
    </row>
  </sheetData>
  <mergeCells count="12">
    <mergeCell ref="Q2:S2"/>
    <mergeCell ref="U2:X2"/>
    <mergeCell ref="Z2:AB2"/>
    <mergeCell ref="AD2:AG2"/>
    <mergeCell ref="AM1:AN1"/>
    <mergeCell ref="AP1:AS1"/>
    <mergeCell ref="AW1:AX1"/>
    <mergeCell ref="AZ1:BB1"/>
    <mergeCell ref="E2:G2"/>
    <mergeCell ref="I2:K2"/>
    <mergeCell ref="M2:O2"/>
    <mergeCell ref="AI2:AK2"/>
  </mergeCells>
  <printOptions/>
  <pageMargins bottom="0.7480314960629921" footer="0.0" header="0.0" left="0.7086614173228347" right="0.7086614173228347" top="0.7480314960629921"/>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14"/>
    <col customWidth="1" min="2" max="2" width="17.71"/>
    <col customWidth="1" min="3" max="3" width="11.14"/>
    <col customWidth="1" min="4" max="4" width="56.86"/>
    <col customWidth="1" min="5" max="6" width="13.14"/>
    <col customWidth="1" min="7" max="7" width="33.0"/>
    <col customWidth="1" min="8" max="8" width="27.29"/>
    <col customWidth="1" min="9" max="9" width="30.14"/>
    <col customWidth="1" min="10" max="10" width="92.14"/>
  </cols>
  <sheetData>
    <row r="1">
      <c r="A1" s="1" t="str">
        <f>'1. READ THIS FIRST!'!A1</f>
        <v/>
      </c>
      <c r="D1" s="369" t="s">
        <v>133</v>
      </c>
      <c r="E1" s="370">
        <f>'4. Budget Detail'!$H$637</f>
        <v>1286182.024</v>
      </c>
      <c r="F1" s="371"/>
      <c r="G1" s="371"/>
      <c r="H1" s="371"/>
      <c r="I1" s="371"/>
      <c r="J1" s="371"/>
    </row>
    <row r="2">
      <c r="A2" s="372"/>
      <c r="B2" s="373"/>
      <c r="C2" s="373"/>
      <c r="D2" s="373"/>
    </row>
    <row r="3">
      <c r="A3" s="372"/>
      <c r="B3" s="374" t="s">
        <v>134</v>
      </c>
      <c r="C3" s="375"/>
      <c r="D3" s="376"/>
      <c r="G3" s="377" t="s">
        <v>135</v>
      </c>
      <c r="J3" s="378"/>
    </row>
    <row r="4">
      <c r="B4" s="379" t="s">
        <v>136</v>
      </c>
      <c r="C4" s="15"/>
      <c r="D4" s="13"/>
      <c r="J4" s="378"/>
    </row>
    <row r="5">
      <c r="B5" s="380" t="s">
        <v>137</v>
      </c>
      <c r="C5" s="381" t="s">
        <v>138</v>
      </c>
      <c r="D5" s="381" t="s">
        <v>139</v>
      </c>
      <c r="J5" s="378"/>
    </row>
    <row r="6">
      <c r="B6" s="382" t="s">
        <v>140</v>
      </c>
      <c r="C6" s="383">
        <v>10.0</v>
      </c>
      <c r="D6" s="384" t="s">
        <v>141</v>
      </c>
      <c r="J6" s="378"/>
    </row>
    <row r="7">
      <c r="B7" s="385" t="s">
        <v>142</v>
      </c>
      <c r="C7" s="386">
        <v>53.0</v>
      </c>
      <c r="D7" s="387" t="s">
        <v>143</v>
      </c>
      <c r="J7" s="378"/>
    </row>
    <row r="8">
      <c r="B8" s="388"/>
      <c r="C8" s="386"/>
      <c r="D8" s="389"/>
      <c r="J8" s="378"/>
    </row>
    <row r="9">
      <c r="B9" s="385" t="s">
        <v>144</v>
      </c>
      <c r="C9" s="386">
        <f>SHOOTINTW_DAYS</f>
        <v>10</v>
      </c>
      <c r="D9" s="387" t="s">
        <v>145</v>
      </c>
      <c r="J9" s="378"/>
    </row>
    <row r="10">
      <c r="B10" s="385" t="s">
        <v>146</v>
      </c>
      <c r="C10" s="386">
        <v>0.0</v>
      </c>
      <c r="D10" s="387" t="s">
        <v>147</v>
      </c>
      <c r="J10" s="378"/>
    </row>
    <row r="11">
      <c r="B11" s="388"/>
      <c r="C11" s="390"/>
      <c r="D11" s="389"/>
      <c r="J11" s="378"/>
    </row>
    <row r="12">
      <c r="B12" s="388"/>
      <c r="C12" s="388"/>
      <c r="D12" s="388"/>
      <c r="J12" s="378"/>
    </row>
    <row r="13">
      <c r="B13" s="385" t="s">
        <v>148</v>
      </c>
      <c r="C13" s="386">
        <v>18.0</v>
      </c>
      <c r="D13" s="389" t="s">
        <v>149</v>
      </c>
      <c r="J13" s="378"/>
    </row>
    <row r="14">
      <c r="B14" s="385" t="s">
        <v>150</v>
      </c>
      <c r="C14" s="386">
        <v>9.0</v>
      </c>
      <c r="D14" s="387" t="s">
        <v>151</v>
      </c>
      <c r="J14" s="378"/>
    </row>
    <row r="15">
      <c r="A15" s="391"/>
      <c r="B15" s="392" t="s">
        <v>152</v>
      </c>
      <c r="C15" s="393">
        <v>-9.0</v>
      </c>
      <c r="D15" s="394" t="s">
        <v>153</v>
      </c>
      <c r="E15" s="395"/>
      <c r="F15" s="395"/>
      <c r="J15" s="378"/>
    </row>
    <row r="16">
      <c r="B16" s="385" t="s">
        <v>154</v>
      </c>
      <c r="C16" s="386">
        <v>52.0</v>
      </c>
      <c r="D16" s="389" t="s">
        <v>155</v>
      </c>
      <c r="J16" s="378"/>
    </row>
    <row r="17">
      <c r="B17" s="385" t="s">
        <v>156</v>
      </c>
      <c r="C17" s="386">
        <v>40.0</v>
      </c>
      <c r="D17" s="389" t="s">
        <v>157</v>
      </c>
      <c r="J17" s="378"/>
    </row>
    <row r="18">
      <c r="A18" s="391"/>
      <c r="B18" s="392" t="s">
        <v>158</v>
      </c>
      <c r="C18" s="393">
        <v>-22.0</v>
      </c>
      <c r="D18" s="394" t="s">
        <v>159</v>
      </c>
      <c r="E18" s="395"/>
      <c r="F18" s="395"/>
      <c r="J18" s="378"/>
    </row>
    <row r="19">
      <c r="B19" s="385" t="s">
        <v>160</v>
      </c>
      <c r="C19" s="390">
        <v>16.0</v>
      </c>
      <c r="D19" s="389" t="s">
        <v>161</v>
      </c>
      <c r="J19" s="378"/>
    </row>
    <row r="20">
      <c r="B20" s="385" t="s">
        <v>162</v>
      </c>
      <c r="C20" s="396">
        <f>SUM(C13:C19)</f>
        <v>104</v>
      </c>
      <c r="D20" s="397" t="s">
        <v>163</v>
      </c>
      <c r="J20" s="378"/>
    </row>
    <row r="21">
      <c r="B21" s="388"/>
      <c r="C21" s="398"/>
      <c r="D21" s="399"/>
      <c r="J21" s="378"/>
    </row>
    <row r="22">
      <c r="B22" s="385" t="s">
        <v>164</v>
      </c>
      <c r="C22" s="400">
        <f>TOTAL_WEEKS/4.33</f>
        <v>24.01847575</v>
      </c>
      <c r="D22" s="397" t="s">
        <v>165</v>
      </c>
      <c r="J22" s="378"/>
    </row>
    <row r="23">
      <c r="B23" s="388"/>
      <c r="C23" s="401"/>
      <c r="D23" s="389"/>
      <c r="J23" s="378"/>
    </row>
    <row r="24">
      <c r="B24" s="385" t="s">
        <v>166</v>
      </c>
      <c r="C24" s="402">
        <v>0.075</v>
      </c>
      <c r="D24" s="389" t="s">
        <v>167</v>
      </c>
      <c r="J24" s="378"/>
    </row>
    <row r="25">
      <c r="B25" s="385" t="s">
        <v>168</v>
      </c>
      <c r="C25" s="403">
        <v>150.0</v>
      </c>
      <c r="D25" s="389" t="s">
        <v>169</v>
      </c>
      <c r="J25" s="378"/>
    </row>
    <row r="26">
      <c r="B26" s="385" t="s">
        <v>170</v>
      </c>
      <c r="C26" s="404">
        <v>0.05</v>
      </c>
      <c r="D26" s="389" t="s">
        <v>171</v>
      </c>
      <c r="J26" s="378"/>
    </row>
    <row r="27">
      <c r="B27" s="388"/>
      <c r="C27" s="405"/>
      <c r="D27" s="389"/>
      <c r="J27" s="378"/>
    </row>
    <row r="28">
      <c r="B28" s="388"/>
      <c r="C28" s="406" t="s">
        <v>172</v>
      </c>
      <c r="D28" s="389"/>
      <c r="J28" s="378"/>
    </row>
    <row r="29">
      <c r="B29" s="385" t="s">
        <v>173</v>
      </c>
      <c r="C29" s="405">
        <f>6.2%+1.45%+5%+1%+0.6%+4.025%+0.075%</f>
        <v>0.1835</v>
      </c>
      <c r="D29" s="387" t="s">
        <v>174</v>
      </c>
      <c r="J29" s="378"/>
    </row>
    <row r="30">
      <c r="C30" s="407"/>
    </row>
    <row r="31">
      <c r="C31" s="408"/>
      <c r="D31" s="408"/>
      <c r="G31" s="409"/>
      <c r="H31" s="409"/>
      <c r="I31" s="409"/>
      <c r="J31" s="409"/>
    </row>
    <row r="32">
      <c r="B32" s="410" t="s">
        <v>175</v>
      </c>
      <c r="G32" s="411" t="s">
        <v>176</v>
      </c>
      <c r="H32" s="412">
        <f>SHOOTINTW_DAYS</f>
        <v>10</v>
      </c>
      <c r="I32" s="413" t="s">
        <v>177</v>
      </c>
      <c r="J32" s="414"/>
    </row>
    <row r="33">
      <c r="B33" s="415" t="s">
        <v>178</v>
      </c>
      <c r="C33" s="416"/>
      <c r="D33" s="408"/>
      <c r="G33" s="411" t="s">
        <v>176</v>
      </c>
      <c r="H33" s="412">
        <f>EDIT_WEEKS+FINISH_WEEKS</f>
        <v>56</v>
      </c>
      <c r="I33" s="413" t="s">
        <v>179</v>
      </c>
      <c r="J33" s="414"/>
    </row>
    <row r="34">
      <c r="B34" s="415" t="s">
        <v>180</v>
      </c>
      <c r="C34" s="416"/>
      <c r="D34" s="408"/>
    </row>
    <row r="35">
      <c r="B35" s="415" t="s">
        <v>181</v>
      </c>
      <c r="C35" s="416"/>
      <c r="D35" s="408"/>
    </row>
    <row r="36">
      <c r="B36" s="415" t="s">
        <v>182</v>
      </c>
      <c r="C36" s="416"/>
      <c r="D36" s="408"/>
    </row>
    <row r="37">
      <c r="B37" s="415" t="s">
        <v>183</v>
      </c>
      <c r="C37" s="416"/>
      <c r="D37" s="408"/>
    </row>
    <row r="38">
      <c r="C38" s="408"/>
      <c r="D38" s="408"/>
    </row>
    <row r="39" ht="92.25" customHeight="1">
      <c r="B39" s="417" t="s">
        <v>184</v>
      </c>
    </row>
    <row r="40">
      <c r="C40" s="408"/>
      <c r="D40" s="408"/>
    </row>
  </sheetData>
  <mergeCells count="5">
    <mergeCell ref="B3:D3"/>
    <mergeCell ref="G3:I29"/>
    <mergeCell ref="B4:D4"/>
    <mergeCell ref="B32:D32"/>
    <mergeCell ref="B39:D39"/>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6.86"/>
    <col customWidth="1" min="2" max="2" width="8.29"/>
    <col customWidth="1" min="3" max="3" width="67.14"/>
    <col customWidth="1" min="4" max="4" width="8.29"/>
    <col customWidth="1" min="5" max="5" width="11.0"/>
    <col customWidth="1" min="6" max="6" width="5.0"/>
    <col customWidth="1" min="7" max="7" width="8.14"/>
    <col customWidth="1" min="8" max="8" width="18.43"/>
    <col customWidth="1" min="9" max="9" width="19.14"/>
    <col customWidth="1" min="10" max="10" width="18.57"/>
  </cols>
  <sheetData>
    <row r="1" ht="13.5" customHeight="1">
      <c r="A1" s="1" t="str">
        <f>'1. READ THIS FIRST!'!A1</f>
        <v/>
      </c>
      <c r="B1" s="418" t="s">
        <v>185</v>
      </c>
      <c r="C1" s="419" t="s">
        <v>139</v>
      </c>
      <c r="D1" s="420" t="s">
        <v>186</v>
      </c>
      <c r="E1" s="421" t="s">
        <v>187</v>
      </c>
      <c r="F1" s="422" t="s">
        <v>188</v>
      </c>
      <c r="G1" s="423" t="s">
        <v>189</v>
      </c>
      <c r="H1" s="424" t="s">
        <v>190</v>
      </c>
      <c r="I1" s="425">
        <f>$H$637</f>
        <v>1286182.024</v>
      </c>
      <c r="J1" s="426"/>
    </row>
    <row r="2" ht="13.5" customHeight="1">
      <c r="A2" s="427" t="s">
        <v>191</v>
      </c>
      <c r="B2" s="428"/>
      <c r="C2" s="428"/>
      <c r="D2" s="428"/>
      <c r="E2" s="428"/>
      <c r="F2" s="428"/>
      <c r="G2" s="428"/>
      <c r="H2" s="428"/>
      <c r="I2" s="427" t="s">
        <v>191</v>
      </c>
      <c r="J2" s="429"/>
    </row>
    <row r="3" ht="13.5" customHeight="1">
      <c r="A3" s="430" t="s">
        <v>192</v>
      </c>
      <c r="B3" s="428"/>
      <c r="C3" s="428"/>
      <c r="D3" s="428"/>
      <c r="E3" s="428"/>
      <c r="F3" s="428"/>
      <c r="G3" s="428"/>
      <c r="H3" s="428"/>
      <c r="I3" s="430" t="s">
        <v>192</v>
      </c>
      <c r="J3" s="429"/>
    </row>
    <row r="4" ht="13.5" customHeight="1">
      <c r="A4" s="431"/>
      <c r="B4" s="428" t="s">
        <v>2</v>
      </c>
      <c r="I4" s="432"/>
      <c r="J4" s="429"/>
    </row>
    <row r="5" ht="13.5" customHeight="1">
      <c r="A5" s="431"/>
      <c r="B5" s="433" t="s">
        <v>193</v>
      </c>
      <c r="I5" s="432"/>
      <c r="J5" s="429"/>
    </row>
    <row r="6" ht="13.5" customHeight="1">
      <c r="A6" s="431"/>
      <c r="B6" s="434"/>
      <c r="C6" s="434"/>
      <c r="D6" s="434"/>
      <c r="E6" s="434"/>
      <c r="F6" s="435"/>
      <c r="G6" s="435"/>
      <c r="H6" s="435"/>
      <c r="I6" s="432"/>
      <c r="J6" s="429"/>
    </row>
    <row r="7" ht="13.5" customHeight="1">
      <c r="A7" s="431"/>
      <c r="B7" s="434"/>
      <c r="C7" s="434"/>
      <c r="D7" s="434"/>
      <c r="E7" s="434"/>
      <c r="F7" s="435"/>
      <c r="G7" s="435"/>
      <c r="H7" s="435"/>
      <c r="I7" s="432"/>
      <c r="J7" s="429"/>
    </row>
    <row r="8" ht="13.5" customHeight="1">
      <c r="A8" s="431"/>
      <c r="B8" s="436" t="s">
        <v>194</v>
      </c>
      <c r="C8" s="436"/>
      <c r="D8" s="437"/>
      <c r="E8" s="438" t="s">
        <v>195</v>
      </c>
      <c r="F8" s="439">
        <f>RESEARCH_WEEKS</f>
        <v>18</v>
      </c>
      <c r="G8" s="440" t="s">
        <v>196</v>
      </c>
      <c r="H8" s="441"/>
      <c r="J8" s="416"/>
    </row>
    <row r="9" ht="13.5" customHeight="1">
      <c r="A9" s="431"/>
      <c r="B9" s="436" t="s">
        <v>197</v>
      </c>
      <c r="C9" s="436"/>
      <c r="D9" s="437"/>
      <c r="E9" s="442" t="s">
        <v>198</v>
      </c>
      <c r="F9" s="443">
        <f>PREP_WEEKS</f>
        <v>9</v>
      </c>
      <c r="G9" s="444" t="s">
        <v>199</v>
      </c>
      <c r="H9" s="441"/>
      <c r="J9" s="416"/>
    </row>
    <row r="10" ht="13.5" customHeight="1">
      <c r="A10" s="431"/>
      <c r="B10" s="436" t="s">
        <v>200</v>
      </c>
      <c r="C10" s="445"/>
      <c r="D10" s="437"/>
      <c r="E10" s="446" t="s">
        <v>201</v>
      </c>
      <c r="F10" s="447" t="s">
        <v>202</v>
      </c>
      <c r="G10" s="440"/>
      <c r="H10" s="441"/>
      <c r="J10" s="416"/>
    </row>
    <row r="11" ht="13.5" customHeight="1">
      <c r="A11" s="431"/>
      <c r="B11" s="448" t="s">
        <v>203</v>
      </c>
      <c r="C11" s="449"/>
      <c r="D11" s="437"/>
      <c r="E11" s="446" t="s">
        <v>204</v>
      </c>
      <c r="F11" s="450">
        <f>PROD_WEEKS</f>
        <v>52</v>
      </c>
      <c r="G11" s="444" t="s">
        <v>196</v>
      </c>
      <c r="H11" s="441"/>
      <c r="I11" s="451"/>
      <c r="J11" s="452"/>
    </row>
    <row r="12" ht="13.5" customHeight="1">
      <c r="A12" s="431"/>
      <c r="B12" s="448" t="s">
        <v>205</v>
      </c>
      <c r="C12" s="449"/>
      <c r="D12" s="437"/>
      <c r="E12" s="442" t="s">
        <v>206</v>
      </c>
      <c r="F12" s="443">
        <f>EDIT_WEEKS</f>
        <v>40</v>
      </c>
      <c r="G12" s="444" t="s">
        <v>207</v>
      </c>
      <c r="H12" s="441"/>
      <c r="J12" s="416"/>
    </row>
    <row r="13" ht="13.5" customHeight="1">
      <c r="A13" s="431"/>
      <c r="B13" s="453"/>
      <c r="C13" s="449"/>
      <c r="D13" s="437"/>
      <c r="E13" s="438" t="s">
        <v>208</v>
      </c>
      <c r="F13" s="443">
        <f>FINISH_WEEKS</f>
        <v>16</v>
      </c>
      <c r="G13" s="440" t="s">
        <v>196</v>
      </c>
      <c r="H13" s="441"/>
      <c r="J13" s="416"/>
    </row>
    <row r="14" ht="13.5" customHeight="1">
      <c r="A14" s="431"/>
      <c r="B14" s="448" t="s">
        <v>209</v>
      </c>
      <c r="C14" s="449"/>
      <c r="D14" s="437"/>
      <c r="E14" s="442" t="s">
        <v>210</v>
      </c>
      <c r="F14" s="443">
        <f>TOTAL_WEEKS</f>
        <v>104</v>
      </c>
      <c r="G14" s="440" t="s">
        <v>196</v>
      </c>
      <c r="H14" s="441"/>
      <c r="J14" s="416"/>
    </row>
    <row r="15" ht="13.5" customHeight="1">
      <c r="A15" s="431"/>
      <c r="B15" s="436"/>
      <c r="C15" s="449"/>
      <c r="D15" s="437"/>
      <c r="E15" s="442" t="s">
        <v>211</v>
      </c>
      <c r="F15" s="443">
        <f>TOTAL_MONTHS</f>
        <v>24.01847575</v>
      </c>
      <c r="G15" s="440" t="s">
        <v>112</v>
      </c>
      <c r="H15" s="441"/>
      <c r="J15" s="416"/>
    </row>
    <row r="16" ht="13.5" customHeight="1">
      <c r="A16" s="431"/>
      <c r="B16" s="454" t="s">
        <v>212</v>
      </c>
      <c r="C16" s="449"/>
      <c r="D16" s="437"/>
      <c r="E16" s="455" t="s">
        <v>213</v>
      </c>
      <c r="F16" s="456" t="s">
        <v>214</v>
      </c>
      <c r="G16" s="441"/>
      <c r="H16" s="441"/>
      <c r="I16" s="432"/>
      <c r="J16" s="429"/>
    </row>
    <row r="17" ht="13.5" customHeight="1">
      <c r="A17" s="431"/>
      <c r="B17" s="457" t="s">
        <v>215</v>
      </c>
      <c r="C17" s="449"/>
      <c r="D17" s="437"/>
      <c r="F17" s="458"/>
      <c r="G17" s="441"/>
      <c r="H17" s="441"/>
      <c r="I17" s="432"/>
      <c r="J17" s="429"/>
    </row>
    <row r="18" ht="13.5" customHeight="1">
      <c r="A18" s="431"/>
      <c r="B18" s="457" t="s">
        <v>216</v>
      </c>
      <c r="C18" s="449"/>
      <c r="D18" s="453"/>
      <c r="E18" s="446" t="s">
        <v>217</v>
      </c>
      <c r="F18" s="459" t="s">
        <v>218</v>
      </c>
      <c r="G18" s="441"/>
      <c r="H18" s="441"/>
      <c r="I18" s="432"/>
      <c r="J18" s="429"/>
    </row>
    <row r="19" ht="12.75" customHeight="1">
      <c r="A19" s="460"/>
      <c r="B19" s="457" t="s">
        <v>219</v>
      </c>
      <c r="C19" s="449"/>
      <c r="D19" s="453"/>
      <c r="E19" s="446" t="s">
        <v>220</v>
      </c>
      <c r="F19" s="461" t="s">
        <v>221</v>
      </c>
      <c r="G19" s="462"/>
      <c r="H19" s="462"/>
      <c r="I19" s="463"/>
      <c r="J19" s="432"/>
    </row>
    <row r="20" ht="12.75" customHeight="1">
      <c r="A20" s="431"/>
      <c r="C20" s="453"/>
      <c r="F20" s="458"/>
      <c r="G20" s="441"/>
      <c r="H20" s="441"/>
      <c r="I20" s="432"/>
      <c r="J20" s="429"/>
    </row>
    <row r="21" ht="12.75" customHeight="1">
      <c r="A21" s="431"/>
      <c r="B21" s="464" t="s">
        <v>222</v>
      </c>
      <c r="C21" s="453"/>
      <c r="E21" s="369" t="s">
        <v>223</v>
      </c>
      <c r="F21" s="443"/>
      <c r="G21" s="441"/>
      <c r="H21" s="441"/>
      <c r="I21" s="432"/>
      <c r="J21" s="429"/>
    </row>
    <row r="22" ht="12.75" customHeight="1">
      <c r="A22" s="431"/>
      <c r="B22" s="465" t="s">
        <v>224</v>
      </c>
      <c r="C22" s="453"/>
      <c r="D22" s="437"/>
      <c r="E22" s="369" t="s">
        <v>225</v>
      </c>
      <c r="F22" s="458"/>
      <c r="G22" s="441"/>
      <c r="H22" s="441"/>
      <c r="I22" s="432"/>
      <c r="J22" s="429"/>
    </row>
    <row r="23" ht="12.75" customHeight="1">
      <c r="A23" s="431"/>
      <c r="B23" s="465" t="s">
        <v>226</v>
      </c>
      <c r="C23" s="466"/>
      <c r="D23" s="437"/>
      <c r="E23" s="369" t="s">
        <v>227</v>
      </c>
      <c r="F23" s="458"/>
      <c r="G23" s="441"/>
      <c r="H23" s="441"/>
      <c r="I23" s="432"/>
      <c r="J23" s="429"/>
    </row>
    <row r="24" ht="12.75" customHeight="1">
      <c r="A24" s="431"/>
      <c r="D24" s="437"/>
      <c r="E24" s="455"/>
      <c r="F24" s="458"/>
      <c r="G24" s="441"/>
      <c r="H24" s="441"/>
      <c r="I24" s="432"/>
      <c r="J24" s="429"/>
    </row>
    <row r="25" ht="12.75" customHeight="1">
      <c r="A25" s="431"/>
      <c r="D25" s="437"/>
      <c r="F25" s="458"/>
      <c r="G25" s="441"/>
      <c r="H25" s="441"/>
      <c r="I25" s="432"/>
      <c r="J25" s="429"/>
    </row>
    <row r="26" ht="13.5" customHeight="1">
      <c r="A26" s="467"/>
      <c r="B26" s="468">
        <v>1000.0</v>
      </c>
      <c r="C26" s="469" t="s">
        <v>228</v>
      </c>
      <c r="D26" s="470" t="s">
        <v>186</v>
      </c>
      <c r="E26" s="471" t="s">
        <v>187</v>
      </c>
      <c r="F26" s="472" t="s">
        <v>188</v>
      </c>
      <c r="G26" s="473" t="s">
        <v>189</v>
      </c>
      <c r="H26" s="474" t="s">
        <v>190</v>
      </c>
      <c r="I26" s="432"/>
      <c r="J26" s="429"/>
    </row>
    <row r="27" ht="13.5" customHeight="1">
      <c r="A27" s="431"/>
      <c r="B27" s="475"/>
      <c r="C27" s="476"/>
      <c r="D27" s="477"/>
      <c r="E27" s="478"/>
      <c r="F27" s="479"/>
      <c r="G27" s="480"/>
      <c r="H27" s="481"/>
      <c r="I27" s="453"/>
      <c r="J27" s="482"/>
    </row>
    <row r="28" ht="13.5" customHeight="1">
      <c r="A28" s="431"/>
      <c r="B28" s="483">
        <v>1000.0</v>
      </c>
      <c r="C28" s="484" t="s">
        <v>229</v>
      </c>
      <c r="D28" s="485"/>
      <c r="E28" s="486"/>
      <c r="F28" s="487"/>
      <c r="G28" s="488"/>
      <c r="H28" s="489">
        <f>SUM(H29:H31)</f>
        <v>0</v>
      </c>
      <c r="I28" s="432"/>
      <c r="J28" s="429"/>
    </row>
    <row r="29" ht="13.5" customHeight="1">
      <c r="A29" s="431"/>
      <c r="B29" s="490">
        <v>1010.0</v>
      </c>
      <c r="C29" s="491" t="s">
        <v>230</v>
      </c>
      <c r="D29" s="492"/>
      <c r="E29" s="493" t="s">
        <v>231</v>
      </c>
      <c r="F29" s="494">
        <v>1.0</v>
      </c>
      <c r="G29" s="495">
        <v>0.0</v>
      </c>
      <c r="H29" s="496">
        <f t="shared" ref="H29:H31" si="1">D29*F29*G29</f>
        <v>0</v>
      </c>
      <c r="I29" s="432"/>
      <c r="J29" s="429"/>
    </row>
    <row r="30" ht="13.5" customHeight="1">
      <c r="A30" s="431"/>
      <c r="B30" s="490">
        <v>1020.0</v>
      </c>
      <c r="C30" s="491" t="s">
        <v>232</v>
      </c>
      <c r="D30" s="492"/>
      <c r="E30" s="493" t="s">
        <v>231</v>
      </c>
      <c r="F30" s="494">
        <v>1.0</v>
      </c>
      <c r="G30" s="495">
        <v>0.0</v>
      </c>
      <c r="H30" s="496">
        <f t="shared" si="1"/>
        <v>0</v>
      </c>
      <c r="I30" s="432"/>
      <c r="J30" s="429"/>
    </row>
    <row r="31" ht="12.75" customHeight="1">
      <c r="A31" s="431"/>
      <c r="B31" s="490">
        <v>1090.0</v>
      </c>
      <c r="C31" s="492" t="s">
        <v>169</v>
      </c>
      <c r="D31" s="492"/>
      <c r="E31" s="493" t="s">
        <v>233</v>
      </c>
      <c r="F31" s="494">
        <v>1.0</v>
      </c>
      <c r="G31" s="495">
        <f>MISC</f>
        <v>150</v>
      </c>
      <c r="H31" s="496">
        <f t="shared" si="1"/>
        <v>0</v>
      </c>
      <c r="I31" s="463"/>
      <c r="J31" s="432"/>
    </row>
    <row r="32" ht="13.5" customHeight="1">
      <c r="A32" s="431"/>
      <c r="B32" s="497"/>
      <c r="C32" s="498"/>
      <c r="D32" s="485"/>
      <c r="E32" s="486"/>
      <c r="F32" s="487"/>
      <c r="G32" s="488"/>
      <c r="H32" s="489"/>
      <c r="I32" s="499"/>
      <c r="J32" s="500"/>
    </row>
    <row r="33" ht="13.5" customHeight="1">
      <c r="A33" s="431"/>
      <c r="B33" s="497">
        <v>1100.0</v>
      </c>
      <c r="C33" s="498" t="s">
        <v>234</v>
      </c>
      <c r="D33" s="492"/>
      <c r="E33" s="493"/>
      <c r="F33" s="501"/>
      <c r="G33" s="495"/>
      <c r="H33" s="489">
        <f>SUM(H34:H38)</f>
        <v>1600</v>
      </c>
      <c r="I33" s="502"/>
      <c r="J33" s="503"/>
    </row>
    <row r="34" ht="13.5" customHeight="1">
      <c r="A34" s="431"/>
      <c r="B34" s="504">
        <v>1110.0</v>
      </c>
      <c r="C34" s="505" t="s">
        <v>235</v>
      </c>
      <c r="D34" s="505">
        <v>1.0</v>
      </c>
      <c r="E34" s="506" t="s">
        <v>233</v>
      </c>
      <c r="F34" s="507">
        <v>1.0</v>
      </c>
      <c r="G34" s="508">
        <v>100.0</v>
      </c>
      <c r="H34" s="496">
        <f t="shared" ref="H34:H38" si="2">D34*F34*G34</f>
        <v>100</v>
      </c>
      <c r="I34" s="502"/>
      <c r="J34" s="503"/>
    </row>
    <row r="35" ht="13.5" customHeight="1">
      <c r="A35" s="431"/>
      <c r="B35" s="504">
        <v>1120.0</v>
      </c>
      <c r="C35" s="509" t="s">
        <v>236</v>
      </c>
      <c r="D35" s="505">
        <v>1.0</v>
      </c>
      <c r="E35" s="506" t="s">
        <v>233</v>
      </c>
      <c r="F35" s="507">
        <v>1.0</v>
      </c>
      <c r="G35" s="508">
        <v>100.0</v>
      </c>
      <c r="H35" s="496">
        <f t="shared" si="2"/>
        <v>100</v>
      </c>
      <c r="I35" s="502"/>
      <c r="J35" s="503"/>
    </row>
    <row r="36" ht="13.5" customHeight="1">
      <c r="A36" s="467"/>
      <c r="B36" s="504">
        <v>1130.0</v>
      </c>
      <c r="C36" s="509" t="s">
        <v>237</v>
      </c>
      <c r="D36" s="505">
        <v>1.0</v>
      </c>
      <c r="E36" s="506" t="s">
        <v>233</v>
      </c>
      <c r="F36" s="507">
        <v>1.0</v>
      </c>
      <c r="G36" s="508">
        <v>250.0</v>
      </c>
      <c r="H36" s="496">
        <f t="shared" si="2"/>
        <v>250</v>
      </c>
      <c r="I36" s="502"/>
      <c r="J36" s="503"/>
    </row>
    <row r="37" ht="13.5" customHeight="1">
      <c r="A37" s="467"/>
      <c r="B37" s="510">
        <v>1140.0</v>
      </c>
      <c r="C37" s="509" t="s">
        <v>238</v>
      </c>
      <c r="D37" s="509">
        <v>2.0</v>
      </c>
      <c r="E37" s="511" t="s">
        <v>239</v>
      </c>
      <c r="F37" s="507">
        <v>1.0</v>
      </c>
      <c r="G37" s="508">
        <v>500.0</v>
      </c>
      <c r="H37" s="496">
        <f t="shared" si="2"/>
        <v>1000</v>
      </c>
      <c r="I37" s="502"/>
      <c r="J37" s="503"/>
    </row>
    <row r="38" ht="13.5" customHeight="1">
      <c r="A38" s="467"/>
      <c r="B38" s="504">
        <v>1190.0</v>
      </c>
      <c r="C38" s="509" t="s">
        <v>240</v>
      </c>
      <c r="D38" s="505">
        <v>1.0</v>
      </c>
      <c r="E38" s="506" t="s">
        <v>233</v>
      </c>
      <c r="F38" s="507">
        <v>1.0</v>
      </c>
      <c r="G38" s="512">
        <f>MISC</f>
        <v>150</v>
      </c>
      <c r="H38" s="496">
        <f t="shared" si="2"/>
        <v>150</v>
      </c>
      <c r="I38" s="502"/>
      <c r="J38" s="503"/>
    </row>
    <row r="39" ht="13.5" customHeight="1">
      <c r="A39" s="431"/>
      <c r="B39" s="504"/>
      <c r="C39" s="505"/>
      <c r="D39" s="505"/>
      <c r="E39" s="506"/>
      <c r="F39" s="513"/>
      <c r="G39" s="512"/>
      <c r="H39" s="496"/>
      <c r="I39" s="502"/>
      <c r="J39" s="503"/>
    </row>
    <row r="40" ht="13.5" customHeight="1">
      <c r="A40" s="431"/>
      <c r="B40" s="497">
        <v>1200.0</v>
      </c>
      <c r="C40" s="498" t="s">
        <v>241</v>
      </c>
      <c r="D40" s="505"/>
      <c r="E40" s="506"/>
      <c r="F40" s="513"/>
      <c r="G40" s="512"/>
      <c r="H40" s="496"/>
      <c r="I40" s="502"/>
      <c r="J40" s="503"/>
    </row>
    <row r="41" ht="12.75" customHeight="1">
      <c r="A41" s="431"/>
      <c r="B41" s="497"/>
      <c r="C41" s="514" t="s">
        <v>242</v>
      </c>
      <c r="D41" s="505"/>
      <c r="E41" s="506"/>
      <c r="F41" s="513"/>
      <c r="G41" s="512"/>
      <c r="H41" s="515">
        <f>SUM(H42:H48)</f>
        <v>2110</v>
      </c>
      <c r="I41" s="502"/>
      <c r="J41" s="503"/>
    </row>
    <row r="42" ht="13.5" customHeight="1">
      <c r="A42" s="431"/>
      <c r="B42" s="504">
        <v>1210.0</v>
      </c>
      <c r="C42" s="516" t="s">
        <v>243</v>
      </c>
      <c r="D42" s="509">
        <v>2.0</v>
      </c>
      <c r="E42" s="506" t="s">
        <v>244</v>
      </c>
      <c r="F42" s="507">
        <v>1.0</v>
      </c>
      <c r="G42" s="508">
        <v>340.0</v>
      </c>
      <c r="H42" s="496">
        <f t="shared" ref="H42:H48" si="3">D42*F42*G42</f>
        <v>680</v>
      </c>
      <c r="I42" s="502"/>
      <c r="J42" s="503"/>
    </row>
    <row r="43" ht="13.5" customHeight="1">
      <c r="A43" s="431"/>
      <c r="B43" s="504">
        <v>1220.0</v>
      </c>
      <c r="C43" s="516" t="s">
        <v>245</v>
      </c>
      <c r="D43" s="505">
        <v>0.0</v>
      </c>
      <c r="E43" s="506" t="s">
        <v>246</v>
      </c>
      <c r="F43" s="507">
        <v>1.0</v>
      </c>
      <c r="G43" s="512">
        <v>50.0</v>
      </c>
      <c r="H43" s="496">
        <f t="shared" si="3"/>
        <v>0</v>
      </c>
      <c r="I43" s="502"/>
      <c r="J43" s="503"/>
    </row>
    <row r="44" ht="13.5" customHeight="1">
      <c r="A44" s="431"/>
      <c r="B44" s="504">
        <v>1230.0</v>
      </c>
      <c r="C44" s="516" t="s">
        <v>247</v>
      </c>
      <c r="D44" s="509">
        <v>2.0</v>
      </c>
      <c r="E44" s="506" t="s">
        <v>248</v>
      </c>
      <c r="F44" s="507">
        <v>2.0</v>
      </c>
      <c r="G44" s="512">
        <v>200.0</v>
      </c>
      <c r="H44" s="496">
        <f t="shared" si="3"/>
        <v>800</v>
      </c>
      <c r="I44" s="432"/>
      <c r="J44" s="429"/>
    </row>
    <row r="45" ht="13.5" customHeight="1">
      <c r="A45" s="431"/>
      <c r="B45" s="510">
        <v>1240.0</v>
      </c>
      <c r="C45" s="516" t="s">
        <v>249</v>
      </c>
      <c r="D45" s="509">
        <v>2.0</v>
      </c>
      <c r="E45" s="506" t="s">
        <v>239</v>
      </c>
      <c r="F45" s="507">
        <v>1.0</v>
      </c>
      <c r="G45" s="512">
        <v>100.0</v>
      </c>
      <c r="H45" s="496">
        <f t="shared" si="3"/>
        <v>200</v>
      </c>
      <c r="I45" s="432"/>
      <c r="J45" s="429"/>
    </row>
    <row r="46" ht="13.5" customHeight="1">
      <c r="A46" s="431"/>
      <c r="B46" s="510">
        <v>1250.0</v>
      </c>
      <c r="C46" s="517" t="s">
        <v>250</v>
      </c>
      <c r="D46" s="509">
        <v>2.0</v>
      </c>
      <c r="E46" s="506" t="s">
        <v>239</v>
      </c>
      <c r="F46" s="507">
        <v>2.0</v>
      </c>
      <c r="G46" s="508">
        <v>70.0</v>
      </c>
      <c r="H46" s="496">
        <f t="shared" si="3"/>
        <v>280</v>
      </c>
      <c r="I46" s="432"/>
      <c r="J46" s="429"/>
    </row>
    <row r="47" ht="13.5" customHeight="1">
      <c r="A47" s="6"/>
      <c r="B47" s="518">
        <v>1280.0</v>
      </c>
      <c r="C47" s="519" t="s">
        <v>251</v>
      </c>
      <c r="D47" s="509"/>
      <c r="E47" s="511" t="s">
        <v>233</v>
      </c>
      <c r="F47" s="507">
        <v>1.0</v>
      </c>
      <c r="G47" s="508">
        <v>500.0</v>
      </c>
      <c r="H47" s="496">
        <f t="shared" si="3"/>
        <v>0</v>
      </c>
      <c r="I47" s="432"/>
      <c r="J47" s="429"/>
    </row>
    <row r="48" ht="13.5" customHeight="1">
      <c r="A48" s="520"/>
      <c r="B48" s="521">
        <v>1290.0</v>
      </c>
      <c r="C48" s="516" t="s">
        <v>252</v>
      </c>
      <c r="D48" s="505">
        <v>1.0</v>
      </c>
      <c r="E48" s="506" t="s">
        <v>233</v>
      </c>
      <c r="F48" s="507">
        <v>1.0</v>
      </c>
      <c r="G48" s="512">
        <f>MISC</f>
        <v>150</v>
      </c>
      <c r="H48" s="496">
        <f t="shared" si="3"/>
        <v>150</v>
      </c>
      <c r="I48" s="432"/>
      <c r="J48" s="429"/>
    </row>
    <row r="49" ht="13.5" customHeight="1">
      <c r="A49" s="467"/>
      <c r="B49" s="504"/>
      <c r="C49" s="505"/>
      <c r="D49" s="505"/>
      <c r="E49" s="506"/>
      <c r="F49" s="513"/>
      <c r="G49" s="512"/>
      <c r="H49" s="496"/>
      <c r="I49" s="432"/>
      <c r="J49" s="429"/>
    </row>
    <row r="50" ht="13.5" customHeight="1">
      <c r="A50" s="467"/>
      <c r="B50" s="522">
        <v>1300.0</v>
      </c>
      <c r="C50" s="523" t="s">
        <v>253</v>
      </c>
      <c r="D50" s="492"/>
      <c r="E50" s="493"/>
      <c r="F50" s="501"/>
      <c r="G50" s="495"/>
      <c r="H50" s="489">
        <f>SUM(H51:H57)</f>
        <v>800</v>
      </c>
      <c r="I50" s="502"/>
      <c r="J50" s="503"/>
    </row>
    <row r="51" ht="12.75" customHeight="1">
      <c r="A51" s="467"/>
      <c r="B51" s="510">
        <v>1310.0</v>
      </c>
      <c r="C51" s="509" t="s">
        <v>254</v>
      </c>
      <c r="D51" s="505"/>
      <c r="E51" s="506" t="s">
        <v>233</v>
      </c>
      <c r="F51" s="507">
        <v>1.0</v>
      </c>
      <c r="G51" s="512">
        <v>2500.0</v>
      </c>
      <c r="H51" s="496">
        <f t="shared" ref="H51:H57" si="4">D51*F51*G51</f>
        <v>0</v>
      </c>
      <c r="I51" s="502"/>
      <c r="J51" s="503"/>
    </row>
    <row r="52" ht="13.5" customHeight="1">
      <c r="A52" s="467"/>
      <c r="B52" s="510">
        <v>1320.0</v>
      </c>
      <c r="C52" s="509" t="s">
        <v>255</v>
      </c>
      <c r="D52" s="509"/>
      <c r="E52" s="511" t="s">
        <v>233</v>
      </c>
      <c r="F52" s="507">
        <v>1.0</v>
      </c>
      <c r="G52" s="508">
        <v>1500.0</v>
      </c>
      <c r="H52" s="496">
        <f t="shared" si="4"/>
        <v>0</v>
      </c>
      <c r="I52" s="502"/>
      <c r="J52" s="503"/>
    </row>
    <row r="53" ht="13.5" customHeight="1">
      <c r="A53" s="467"/>
      <c r="B53" s="510">
        <v>1330.0</v>
      </c>
      <c r="C53" s="509" t="s">
        <v>256</v>
      </c>
      <c r="D53" s="509"/>
      <c r="E53" s="506" t="s">
        <v>233</v>
      </c>
      <c r="F53" s="507">
        <v>1.0</v>
      </c>
      <c r="G53" s="508">
        <v>2500.0</v>
      </c>
      <c r="H53" s="496">
        <f t="shared" si="4"/>
        <v>0</v>
      </c>
      <c r="I53" s="502"/>
      <c r="J53" s="503"/>
    </row>
    <row r="54" ht="13.5" customHeight="1">
      <c r="A54" s="467"/>
      <c r="B54" s="510">
        <v>1340.0</v>
      </c>
      <c r="C54" s="509" t="s">
        <v>257</v>
      </c>
      <c r="D54" s="509"/>
      <c r="E54" s="506" t="s">
        <v>233</v>
      </c>
      <c r="F54" s="507">
        <v>1.0</v>
      </c>
      <c r="G54" s="508">
        <v>1000.0</v>
      </c>
      <c r="H54" s="496">
        <f t="shared" si="4"/>
        <v>0</v>
      </c>
      <c r="I54" s="502"/>
      <c r="J54" s="503"/>
    </row>
    <row r="55" ht="12.75" customHeight="1">
      <c r="A55" s="467"/>
      <c r="B55" s="510">
        <v>1350.0</v>
      </c>
      <c r="C55" s="509" t="s">
        <v>258</v>
      </c>
      <c r="D55" s="505">
        <v>1.0</v>
      </c>
      <c r="E55" s="506" t="s">
        <v>233</v>
      </c>
      <c r="F55" s="507">
        <v>1.0</v>
      </c>
      <c r="G55" s="508">
        <v>250.0</v>
      </c>
      <c r="H55" s="496">
        <f t="shared" si="4"/>
        <v>250</v>
      </c>
      <c r="I55" s="502"/>
      <c r="J55" s="503"/>
    </row>
    <row r="56" ht="12.75" customHeight="1">
      <c r="A56" s="467"/>
      <c r="B56" s="510">
        <v>1360.0</v>
      </c>
      <c r="C56" s="509" t="s">
        <v>259</v>
      </c>
      <c r="D56" s="509">
        <v>1.0</v>
      </c>
      <c r="E56" s="511" t="s">
        <v>246</v>
      </c>
      <c r="F56" s="507">
        <v>1.0</v>
      </c>
      <c r="G56" s="508">
        <v>400.0</v>
      </c>
      <c r="H56" s="496">
        <f t="shared" si="4"/>
        <v>400</v>
      </c>
      <c r="I56" s="502"/>
      <c r="J56" s="503"/>
    </row>
    <row r="57" ht="13.5" customHeight="1">
      <c r="A57" s="431"/>
      <c r="B57" s="510">
        <v>1390.0</v>
      </c>
      <c r="C57" s="509" t="s">
        <v>260</v>
      </c>
      <c r="D57" s="505">
        <v>1.0</v>
      </c>
      <c r="E57" s="506" t="s">
        <v>233</v>
      </c>
      <c r="F57" s="507">
        <v>1.0</v>
      </c>
      <c r="G57" s="512">
        <f>MISC</f>
        <v>150</v>
      </c>
      <c r="H57" s="496">
        <f t="shared" si="4"/>
        <v>150</v>
      </c>
      <c r="I57" s="502"/>
      <c r="J57" s="503"/>
    </row>
    <row r="58" ht="13.5" customHeight="1">
      <c r="A58" s="431"/>
      <c r="B58" s="522"/>
      <c r="C58" s="498"/>
      <c r="D58" s="505"/>
      <c r="E58" s="506"/>
      <c r="F58" s="513"/>
      <c r="G58" s="512"/>
      <c r="H58" s="515"/>
      <c r="I58" s="432"/>
      <c r="J58" s="429"/>
    </row>
    <row r="59" ht="13.5" customHeight="1">
      <c r="A59" s="431"/>
      <c r="B59" s="522">
        <v>1400.0</v>
      </c>
      <c r="C59" s="524" t="s">
        <v>261</v>
      </c>
      <c r="D59" s="505"/>
      <c r="E59" s="506"/>
      <c r="F59" s="513"/>
      <c r="G59" s="512"/>
      <c r="H59" s="515">
        <f>SUM(H61:H75)</f>
        <v>0</v>
      </c>
      <c r="I59" s="502"/>
      <c r="J59" s="503"/>
    </row>
    <row r="60" ht="13.5" customHeight="1">
      <c r="A60" s="431"/>
      <c r="B60" s="490"/>
      <c r="C60" s="525" t="s">
        <v>262</v>
      </c>
      <c r="D60" s="526"/>
      <c r="E60" s="526"/>
      <c r="F60" s="526"/>
      <c r="G60" s="526"/>
      <c r="H60" s="527"/>
      <c r="I60" s="502"/>
      <c r="J60" s="503"/>
    </row>
    <row r="61" ht="13.5" customHeight="1">
      <c r="A61" s="431"/>
      <c r="B61" s="490">
        <v>1401.0</v>
      </c>
      <c r="C61" s="491" t="s">
        <v>263</v>
      </c>
      <c r="D61" s="491"/>
      <c r="E61" s="493" t="s">
        <v>231</v>
      </c>
      <c r="F61" s="494">
        <v>1.0</v>
      </c>
      <c r="G61" s="528">
        <v>2000.0</v>
      </c>
      <c r="H61" s="496">
        <f t="shared" ref="H61:H75" si="5">D61*F61*G61</f>
        <v>0</v>
      </c>
      <c r="I61" s="502"/>
      <c r="J61" s="503"/>
    </row>
    <row r="62" ht="13.5" customHeight="1">
      <c r="A62" s="431"/>
      <c r="B62" s="490">
        <v>1402.0</v>
      </c>
      <c r="C62" s="491" t="s">
        <v>264</v>
      </c>
      <c r="D62" s="491"/>
      <c r="E62" s="493" t="s">
        <v>231</v>
      </c>
      <c r="F62" s="494">
        <v>1.0</v>
      </c>
      <c r="G62" s="528">
        <v>2000.0</v>
      </c>
      <c r="H62" s="496">
        <f t="shared" si="5"/>
        <v>0</v>
      </c>
      <c r="I62" s="502"/>
      <c r="J62" s="503"/>
    </row>
    <row r="63" ht="13.5" customHeight="1">
      <c r="A63" s="431"/>
      <c r="B63" s="490">
        <v>1404.0</v>
      </c>
      <c r="C63" s="491" t="s">
        <v>265</v>
      </c>
      <c r="D63" s="491"/>
      <c r="E63" s="493" t="s">
        <v>239</v>
      </c>
      <c r="F63" s="494">
        <v>1.0</v>
      </c>
      <c r="G63" s="528">
        <v>900.0</v>
      </c>
      <c r="H63" s="496">
        <f t="shared" si="5"/>
        <v>0</v>
      </c>
      <c r="I63" s="502"/>
      <c r="J63" s="503"/>
    </row>
    <row r="64" ht="13.5" customHeight="1">
      <c r="A64" s="431"/>
      <c r="B64" s="490">
        <v>1405.0</v>
      </c>
      <c r="C64" s="491" t="s">
        <v>266</v>
      </c>
      <c r="D64" s="491"/>
      <c r="E64" s="493" t="s">
        <v>239</v>
      </c>
      <c r="F64" s="494">
        <v>1.0</v>
      </c>
      <c r="G64" s="495">
        <v>700.0</v>
      </c>
      <c r="H64" s="496">
        <f t="shared" si="5"/>
        <v>0</v>
      </c>
      <c r="I64" s="502"/>
      <c r="J64" s="503"/>
    </row>
    <row r="65" ht="13.5" customHeight="1">
      <c r="A65" s="431"/>
      <c r="B65" s="490">
        <v>1409.0</v>
      </c>
      <c r="C65" s="491" t="s">
        <v>267</v>
      </c>
      <c r="D65" s="491"/>
      <c r="E65" s="493" t="s">
        <v>239</v>
      </c>
      <c r="F65" s="494">
        <v>1.0</v>
      </c>
      <c r="G65" s="528">
        <v>200.0</v>
      </c>
      <c r="H65" s="496">
        <f t="shared" si="5"/>
        <v>0</v>
      </c>
      <c r="I65" s="502"/>
      <c r="J65" s="503"/>
    </row>
    <row r="66" ht="13.5" customHeight="1">
      <c r="A66" s="431"/>
      <c r="B66" s="510">
        <v>1420.0</v>
      </c>
      <c r="C66" s="509" t="s">
        <v>268</v>
      </c>
      <c r="D66" s="491"/>
      <c r="E66" s="506" t="s">
        <v>233</v>
      </c>
      <c r="F66" s="507">
        <v>1.0</v>
      </c>
      <c r="G66" s="512">
        <v>0.0</v>
      </c>
      <c r="H66" s="496">
        <f t="shared" si="5"/>
        <v>0</v>
      </c>
      <c r="I66" s="432"/>
      <c r="J66" s="429"/>
    </row>
    <row r="67" ht="13.5" customHeight="1">
      <c r="A67" s="431"/>
      <c r="B67" s="510">
        <v>1430.0</v>
      </c>
      <c r="C67" s="509" t="s">
        <v>269</v>
      </c>
      <c r="D67" s="491"/>
      <c r="E67" s="506" t="s">
        <v>239</v>
      </c>
      <c r="F67" s="507">
        <v>1.0</v>
      </c>
      <c r="G67" s="508">
        <v>600.0</v>
      </c>
      <c r="H67" s="496">
        <f t="shared" si="5"/>
        <v>0</v>
      </c>
      <c r="I67" s="432"/>
      <c r="J67" s="429"/>
    </row>
    <row r="68" ht="13.5" customHeight="1">
      <c r="A68" s="431"/>
      <c r="B68" s="510">
        <v>1431.0</v>
      </c>
      <c r="C68" s="509" t="s">
        <v>270</v>
      </c>
      <c r="D68" s="491"/>
      <c r="E68" s="506" t="s">
        <v>239</v>
      </c>
      <c r="F68" s="507">
        <v>1.0</v>
      </c>
      <c r="G68" s="508">
        <v>350.0</v>
      </c>
      <c r="H68" s="496">
        <f t="shared" si="5"/>
        <v>0</v>
      </c>
      <c r="I68" s="432"/>
      <c r="J68" s="429"/>
    </row>
    <row r="69" ht="13.5" customHeight="1">
      <c r="A69" s="431"/>
      <c r="B69" s="510">
        <v>1432.0</v>
      </c>
      <c r="C69" s="509" t="s">
        <v>271</v>
      </c>
      <c r="D69" s="491"/>
      <c r="E69" s="506" t="s">
        <v>239</v>
      </c>
      <c r="F69" s="507">
        <v>1.0</v>
      </c>
      <c r="G69" s="508">
        <v>1000.0</v>
      </c>
      <c r="H69" s="496">
        <f t="shared" si="5"/>
        <v>0</v>
      </c>
      <c r="I69" s="432"/>
      <c r="J69" s="429"/>
    </row>
    <row r="70" ht="13.5" customHeight="1">
      <c r="A70" s="431"/>
      <c r="B70" s="510">
        <v>1440.0</v>
      </c>
      <c r="C70" s="505" t="s">
        <v>272</v>
      </c>
      <c r="D70" s="491"/>
      <c r="E70" s="506" t="s">
        <v>233</v>
      </c>
      <c r="F70" s="507">
        <v>1.0</v>
      </c>
      <c r="G70" s="512">
        <v>2000.0</v>
      </c>
      <c r="H70" s="496">
        <f t="shared" si="5"/>
        <v>0</v>
      </c>
      <c r="I70" s="502"/>
      <c r="J70" s="416"/>
    </row>
    <row r="71" ht="13.5" customHeight="1">
      <c r="A71" s="431"/>
      <c r="B71" s="510">
        <v>1450.0</v>
      </c>
      <c r="C71" s="505" t="s">
        <v>273</v>
      </c>
      <c r="D71" s="491"/>
      <c r="E71" s="506" t="s">
        <v>233</v>
      </c>
      <c r="F71" s="507">
        <v>1.0</v>
      </c>
      <c r="G71" s="512">
        <v>500.0</v>
      </c>
      <c r="H71" s="496">
        <f t="shared" si="5"/>
        <v>0</v>
      </c>
      <c r="I71" s="502"/>
      <c r="J71" s="416"/>
    </row>
    <row r="72" ht="13.5" customHeight="1">
      <c r="A72" s="6"/>
      <c r="B72" s="510">
        <v>1480.0</v>
      </c>
      <c r="C72" s="529" t="s">
        <v>274</v>
      </c>
      <c r="D72" s="491"/>
      <c r="E72" s="530" t="s">
        <v>233</v>
      </c>
      <c r="F72" s="531">
        <v>1.0</v>
      </c>
      <c r="G72" s="532"/>
      <c r="H72" s="496">
        <f t="shared" si="5"/>
        <v>0</v>
      </c>
      <c r="I72" s="502"/>
      <c r="J72" s="416"/>
    </row>
    <row r="73" ht="13.5" customHeight="1">
      <c r="A73" s="431"/>
      <c r="B73" s="510">
        <v>1490.0</v>
      </c>
      <c r="C73" s="533" t="s">
        <v>169</v>
      </c>
      <c r="D73" s="491"/>
      <c r="E73" s="534" t="s">
        <v>233</v>
      </c>
      <c r="F73" s="531">
        <v>1.0</v>
      </c>
      <c r="G73" s="532">
        <f>MISC</f>
        <v>150</v>
      </c>
      <c r="H73" s="496">
        <f t="shared" si="5"/>
        <v>0</v>
      </c>
      <c r="I73" s="502"/>
      <c r="J73" s="416"/>
    </row>
    <row r="74" ht="13.5" customHeight="1">
      <c r="A74" s="431"/>
      <c r="B74" s="510">
        <v>1498.0</v>
      </c>
      <c r="C74" s="535" t="s">
        <v>275</v>
      </c>
      <c r="D74" s="535"/>
      <c r="E74" s="536" t="s">
        <v>276</v>
      </c>
      <c r="F74" s="537">
        <v>1.0</v>
      </c>
      <c r="G74" s="538">
        <v>0.0</v>
      </c>
      <c r="H74" s="496">
        <f t="shared" si="5"/>
        <v>0</v>
      </c>
      <c r="I74" s="502"/>
      <c r="J74" s="416"/>
    </row>
    <row r="75" ht="13.5" customHeight="1">
      <c r="A75" s="539"/>
      <c r="B75" s="510">
        <v>1499.0</v>
      </c>
      <c r="C75" s="529" t="s">
        <v>277</v>
      </c>
      <c r="D75" s="512">
        <f>sum(H$63:H$66)</f>
        <v>0</v>
      </c>
      <c r="E75" s="540" t="s">
        <v>278</v>
      </c>
      <c r="F75" s="507">
        <v>1.0</v>
      </c>
      <c r="G75" s="541">
        <f>FRINGE</f>
        <v>0.1835</v>
      </c>
      <c r="H75" s="496">
        <f t="shared" si="5"/>
        <v>0</v>
      </c>
      <c r="I75" s="502"/>
      <c r="J75" s="416"/>
    </row>
    <row r="76" ht="13.5" customHeight="1">
      <c r="A76" s="431"/>
      <c r="B76" s="490"/>
      <c r="C76" s="491"/>
      <c r="D76" s="492"/>
      <c r="E76" s="493"/>
      <c r="F76" s="501"/>
      <c r="G76" s="495"/>
      <c r="H76" s="542"/>
      <c r="I76" s="502"/>
      <c r="J76" s="416"/>
    </row>
    <row r="77" ht="13.5" customHeight="1">
      <c r="A77" s="431"/>
      <c r="B77" s="543">
        <v>1500.0</v>
      </c>
      <c r="C77" s="544" t="s">
        <v>279</v>
      </c>
      <c r="D77" s="492"/>
      <c r="E77" s="493"/>
      <c r="F77" s="501"/>
      <c r="G77" s="495"/>
      <c r="H77" s="489">
        <f>sum(H78:H89)</f>
        <v>4715.15</v>
      </c>
      <c r="I77" s="502"/>
      <c r="J77" s="416"/>
    </row>
    <row r="78" ht="13.5" customHeight="1">
      <c r="A78" s="431"/>
      <c r="B78" s="490">
        <v>1510.0</v>
      </c>
      <c r="C78" s="491" t="s">
        <v>280</v>
      </c>
      <c r="D78" s="491">
        <v>1.0</v>
      </c>
      <c r="E78" s="493" t="s">
        <v>196</v>
      </c>
      <c r="F78" s="494">
        <v>1.0</v>
      </c>
      <c r="G78" s="528">
        <v>3000.0</v>
      </c>
      <c r="H78" s="496">
        <f t="shared" ref="H78:H89" si="6">D78*F78*G78</f>
        <v>3000</v>
      </c>
      <c r="I78" s="502"/>
      <c r="J78" s="416"/>
    </row>
    <row r="79" ht="13.5" customHeight="1">
      <c r="A79" s="431"/>
      <c r="B79" s="490">
        <v>1520.0</v>
      </c>
      <c r="C79" s="491" t="s">
        <v>281</v>
      </c>
      <c r="D79" s="491">
        <v>0.6</v>
      </c>
      <c r="E79" s="545" t="s">
        <v>196</v>
      </c>
      <c r="F79" s="494">
        <v>1.0</v>
      </c>
      <c r="G79" s="528">
        <v>1500.0</v>
      </c>
      <c r="H79" s="496">
        <f t="shared" si="6"/>
        <v>900</v>
      </c>
      <c r="I79" s="432"/>
      <c r="J79" s="429"/>
    </row>
    <row r="80" ht="13.5" customHeight="1">
      <c r="A80" s="431"/>
      <c r="B80" s="490">
        <v>1530.0</v>
      </c>
      <c r="C80" s="491" t="s">
        <v>282</v>
      </c>
      <c r="D80" s="491">
        <v>1.0</v>
      </c>
      <c r="E80" s="545" t="s">
        <v>196</v>
      </c>
      <c r="F80" s="494">
        <v>1.0</v>
      </c>
      <c r="G80" s="528">
        <v>500.0</v>
      </c>
      <c r="H80" s="496">
        <f t="shared" si="6"/>
        <v>500</v>
      </c>
      <c r="I80" s="432"/>
      <c r="J80" s="429"/>
    </row>
    <row r="81" ht="13.5" customHeight="1">
      <c r="A81" s="431"/>
      <c r="B81" s="510">
        <v>1540.0</v>
      </c>
      <c r="C81" s="509" t="s">
        <v>283</v>
      </c>
      <c r="D81" s="505">
        <v>0.0</v>
      </c>
      <c r="E81" s="506" t="s">
        <v>233</v>
      </c>
      <c r="F81" s="507">
        <v>1.0</v>
      </c>
      <c r="G81" s="512">
        <v>0.0</v>
      </c>
      <c r="H81" s="496">
        <f t="shared" si="6"/>
        <v>0</v>
      </c>
      <c r="I81" s="432"/>
      <c r="J81" s="429"/>
    </row>
    <row r="82" ht="13.5" customHeight="1">
      <c r="A82" s="431"/>
      <c r="B82" s="510">
        <v>1541.0</v>
      </c>
      <c r="C82" s="529" t="s">
        <v>284</v>
      </c>
      <c r="D82" s="505">
        <v>0.0</v>
      </c>
      <c r="E82" s="506" t="s">
        <v>233</v>
      </c>
      <c r="F82" s="507">
        <v>1.0</v>
      </c>
      <c r="G82" s="512">
        <v>0.0</v>
      </c>
      <c r="H82" s="496">
        <f t="shared" si="6"/>
        <v>0</v>
      </c>
      <c r="I82" s="502"/>
      <c r="J82" s="503"/>
    </row>
    <row r="83" ht="13.5" customHeight="1">
      <c r="A83" s="431"/>
      <c r="B83" s="510">
        <v>1542.0</v>
      </c>
      <c r="C83" s="509" t="s">
        <v>285</v>
      </c>
      <c r="D83" s="505">
        <v>0.0</v>
      </c>
      <c r="E83" s="506" t="s">
        <v>233</v>
      </c>
      <c r="F83" s="507">
        <v>1.0</v>
      </c>
      <c r="G83" s="512">
        <v>0.0</v>
      </c>
      <c r="H83" s="496">
        <f t="shared" si="6"/>
        <v>0</v>
      </c>
      <c r="I83" s="502"/>
      <c r="J83" s="503"/>
    </row>
    <row r="84" ht="13.5" customHeight="1">
      <c r="A84" s="520"/>
      <c r="B84" s="510">
        <v>1543.0</v>
      </c>
      <c r="C84" s="546" t="s">
        <v>286</v>
      </c>
      <c r="D84" s="509">
        <v>0.0</v>
      </c>
      <c r="E84" s="511" t="s">
        <v>287</v>
      </c>
      <c r="F84" s="547">
        <v>1.0</v>
      </c>
      <c r="G84" s="508">
        <v>15.0</v>
      </c>
      <c r="H84" s="496">
        <f t="shared" si="6"/>
        <v>0</v>
      </c>
      <c r="I84" s="467"/>
      <c r="J84" s="548"/>
    </row>
    <row r="85" ht="13.5" customHeight="1">
      <c r="A85" s="520"/>
      <c r="B85" s="549">
        <v>1544.0</v>
      </c>
      <c r="C85" s="550" t="s">
        <v>288</v>
      </c>
      <c r="D85" s="509">
        <v>0.0</v>
      </c>
      <c r="E85" s="511" t="s">
        <v>287</v>
      </c>
      <c r="F85" s="547">
        <v>1.0</v>
      </c>
      <c r="G85" s="551">
        <v>45.0</v>
      </c>
      <c r="H85" s="496">
        <f t="shared" si="6"/>
        <v>0</v>
      </c>
      <c r="I85" s="552"/>
      <c r="J85" s="429"/>
    </row>
    <row r="86" ht="13.5" customHeight="1">
      <c r="A86" s="553"/>
      <c r="B86" s="549">
        <v>1545.0</v>
      </c>
      <c r="C86" s="554" t="s">
        <v>289</v>
      </c>
      <c r="D86" s="532"/>
      <c r="E86" s="555" t="s">
        <v>290</v>
      </c>
      <c r="F86" s="556">
        <v>1.0</v>
      </c>
      <c r="G86" s="557">
        <v>150.0</v>
      </c>
      <c r="H86" s="558">
        <f t="shared" si="6"/>
        <v>0</v>
      </c>
      <c r="I86" s="463"/>
      <c r="J86" s="432"/>
    </row>
    <row r="87" ht="13.5" customHeight="1">
      <c r="A87" s="520"/>
      <c r="B87" s="510">
        <v>1580.0</v>
      </c>
      <c r="C87" s="554" t="s">
        <v>291</v>
      </c>
      <c r="D87" s="559"/>
      <c r="E87" s="530" t="s">
        <v>233</v>
      </c>
      <c r="F87" s="531">
        <v>1.0</v>
      </c>
      <c r="G87" s="532"/>
      <c r="H87" s="496">
        <f t="shared" si="6"/>
        <v>0</v>
      </c>
      <c r="I87" s="467"/>
      <c r="J87" s="416"/>
    </row>
    <row r="88" ht="13.5" customHeight="1">
      <c r="B88" s="510">
        <v>1590.0</v>
      </c>
      <c r="C88" s="533" t="s">
        <v>169</v>
      </c>
      <c r="D88" s="559">
        <v>1.0</v>
      </c>
      <c r="E88" s="534" t="s">
        <v>233</v>
      </c>
      <c r="F88" s="531">
        <v>1.0</v>
      </c>
      <c r="G88" s="532">
        <f>MISC</f>
        <v>150</v>
      </c>
      <c r="H88" s="496">
        <f t="shared" si="6"/>
        <v>150</v>
      </c>
      <c r="I88" s="502"/>
      <c r="J88" s="503"/>
    </row>
    <row r="89" ht="13.5" customHeight="1">
      <c r="B89" s="510">
        <v>1599.0</v>
      </c>
      <c r="C89" s="529" t="s">
        <v>277</v>
      </c>
      <c r="D89" s="512">
        <f>sum(H$79)</f>
        <v>900</v>
      </c>
      <c r="E89" s="540" t="s">
        <v>278</v>
      </c>
      <c r="F89" s="507">
        <v>1.0</v>
      </c>
      <c r="G89" s="541">
        <f>FRINGE</f>
        <v>0.1835</v>
      </c>
      <c r="H89" s="496">
        <f t="shared" si="6"/>
        <v>165.15</v>
      </c>
      <c r="I89" s="502"/>
      <c r="J89" s="503"/>
    </row>
    <row r="90" ht="13.5" customHeight="1">
      <c r="A90" s="467"/>
      <c r="B90" s="522"/>
      <c r="C90" s="498"/>
      <c r="D90" s="492"/>
      <c r="E90" s="560"/>
      <c r="F90" s="501"/>
      <c r="G90" s="495"/>
      <c r="H90" s="489"/>
      <c r="I90" s="502"/>
      <c r="J90" s="503"/>
    </row>
    <row r="91" ht="12.75" customHeight="1">
      <c r="A91" s="431"/>
      <c r="B91" s="522">
        <v>1600.0</v>
      </c>
      <c r="C91" s="498" t="s">
        <v>292</v>
      </c>
      <c r="D91" s="505"/>
      <c r="E91" s="506"/>
      <c r="F91" s="513"/>
      <c r="G91" s="512"/>
      <c r="H91" s="515">
        <f>SUM(H92:H99)</f>
        <v>1390</v>
      </c>
      <c r="I91" s="432"/>
      <c r="J91" s="429"/>
    </row>
    <row r="92" ht="13.5" customHeight="1">
      <c r="A92" s="431"/>
      <c r="B92" s="497"/>
      <c r="C92" s="514" t="s">
        <v>293</v>
      </c>
      <c r="D92" s="505"/>
      <c r="E92" s="506"/>
      <c r="F92" s="513"/>
      <c r="G92" s="512"/>
      <c r="H92" s="515"/>
      <c r="I92" s="432"/>
      <c r="J92" s="429"/>
    </row>
    <row r="93" ht="12.75" customHeight="1">
      <c r="A93" s="431"/>
      <c r="B93" s="510">
        <v>1610.0</v>
      </c>
      <c r="C93" s="516" t="s">
        <v>243</v>
      </c>
      <c r="D93" s="509">
        <v>1.0</v>
      </c>
      <c r="E93" s="506" t="s">
        <v>244</v>
      </c>
      <c r="F93" s="507">
        <v>1.0</v>
      </c>
      <c r="G93" s="512">
        <v>400.0</v>
      </c>
      <c r="H93" s="496">
        <f t="shared" ref="H93:H99" si="7">D93*F93*G93</f>
        <v>400</v>
      </c>
      <c r="I93" s="432"/>
      <c r="J93" s="429"/>
    </row>
    <row r="94" ht="13.5" customHeight="1">
      <c r="A94" s="431"/>
      <c r="B94" s="510">
        <v>1620.0</v>
      </c>
      <c r="C94" s="516" t="s">
        <v>245</v>
      </c>
      <c r="D94" s="505">
        <v>0.0</v>
      </c>
      <c r="E94" s="506" t="s">
        <v>246</v>
      </c>
      <c r="F94" s="507">
        <v>1.0</v>
      </c>
      <c r="G94" s="512">
        <v>50.0</v>
      </c>
      <c r="H94" s="496">
        <f t="shared" si="7"/>
        <v>0</v>
      </c>
      <c r="I94" s="432"/>
      <c r="J94" s="429"/>
    </row>
    <row r="95" ht="13.5" customHeight="1">
      <c r="A95" s="467"/>
      <c r="B95" s="510">
        <v>1630.0</v>
      </c>
      <c r="C95" s="516" t="s">
        <v>247</v>
      </c>
      <c r="D95" s="509">
        <v>2.0</v>
      </c>
      <c r="E95" s="506" t="s">
        <v>248</v>
      </c>
      <c r="F95" s="507">
        <v>1.0</v>
      </c>
      <c r="G95" s="512">
        <v>250.0</v>
      </c>
      <c r="H95" s="496">
        <f t="shared" si="7"/>
        <v>500</v>
      </c>
      <c r="I95" s="432"/>
      <c r="J95" s="429"/>
    </row>
    <row r="96" ht="13.5" customHeight="1">
      <c r="A96" s="467"/>
      <c r="B96" s="510">
        <v>1640.0</v>
      </c>
      <c r="C96" s="516" t="s">
        <v>249</v>
      </c>
      <c r="D96" s="509">
        <v>2.0</v>
      </c>
      <c r="E96" s="506" t="s">
        <v>239</v>
      </c>
      <c r="F96" s="507">
        <v>1.0</v>
      </c>
      <c r="G96" s="512">
        <v>100.0</v>
      </c>
      <c r="H96" s="496">
        <f t="shared" si="7"/>
        <v>200</v>
      </c>
      <c r="I96" s="432"/>
      <c r="J96" s="429"/>
    </row>
    <row r="97" ht="13.5" customHeight="1">
      <c r="A97" s="467"/>
      <c r="B97" s="510">
        <v>1650.0</v>
      </c>
      <c r="C97" s="517" t="s">
        <v>250</v>
      </c>
      <c r="D97" s="509">
        <v>2.0</v>
      </c>
      <c r="E97" s="506" t="s">
        <v>239</v>
      </c>
      <c r="F97" s="507">
        <v>1.0</v>
      </c>
      <c r="G97" s="508">
        <v>70.0</v>
      </c>
      <c r="H97" s="496">
        <f t="shared" si="7"/>
        <v>140</v>
      </c>
      <c r="I97" s="432"/>
      <c r="J97" s="429"/>
    </row>
    <row r="98" ht="13.5" customHeight="1">
      <c r="A98" s="520"/>
      <c r="B98" s="518">
        <v>1680.0</v>
      </c>
      <c r="C98" s="516" t="s">
        <v>294</v>
      </c>
      <c r="D98" s="505"/>
      <c r="E98" s="511" t="s">
        <v>233</v>
      </c>
      <c r="F98" s="507">
        <v>1.0</v>
      </c>
      <c r="G98" s="508">
        <v>500.0</v>
      </c>
      <c r="H98" s="496">
        <f t="shared" si="7"/>
        <v>0</v>
      </c>
      <c r="I98" s="552"/>
      <c r="J98" s="429"/>
    </row>
    <row r="99" ht="12.75" customHeight="1">
      <c r="A99" s="431"/>
      <c r="B99" s="518">
        <v>1690.0</v>
      </c>
      <c r="C99" s="516" t="s">
        <v>295</v>
      </c>
      <c r="D99" s="505">
        <v>1.0</v>
      </c>
      <c r="E99" s="506" t="s">
        <v>233</v>
      </c>
      <c r="F99" s="507">
        <v>1.0</v>
      </c>
      <c r="G99" s="512">
        <f>MISC</f>
        <v>150</v>
      </c>
      <c r="H99" s="496">
        <f t="shared" si="7"/>
        <v>150</v>
      </c>
      <c r="I99" s="432"/>
      <c r="J99" s="429"/>
    </row>
    <row r="100" ht="13.5" customHeight="1">
      <c r="A100" s="431"/>
      <c r="B100" s="504"/>
      <c r="C100" s="561"/>
      <c r="D100" s="562"/>
      <c r="E100" s="563"/>
      <c r="F100" s="564"/>
      <c r="G100" s="565"/>
      <c r="H100" s="566"/>
      <c r="I100" s="502"/>
      <c r="J100" s="503"/>
    </row>
    <row r="101" ht="13.5" customHeight="1">
      <c r="A101" s="431"/>
      <c r="B101" s="567"/>
      <c r="C101" s="568"/>
      <c r="D101" s="569"/>
      <c r="E101" s="570"/>
      <c r="F101" s="569"/>
      <c r="G101" s="571"/>
      <c r="H101" s="572"/>
      <c r="I101" s="502"/>
      <c r="J101" s="503"/>
    </row>
    <row r="102" ht="13.5" customHeight="1">
      <c r="A102" s="431"/>
      <c r="B102" s="573"/>
      <c r="C102" s="574" t="s">
        <v>296</v>
      </c>
      <c r="D102" s="575"/>
      <c r="E102" s="576"/>
      <c r="F102" s="577"/>
      <c r="G102" s="578"/>
      <c r="H102" s="579">
        <f>SUM(H27:H100)/2</f>
        <v>10615.15</v>
      </c>
      <c r="I102" s="502"/>
      <c r="J102" s="503"/>
    </row>
    <row r="103" ht="13.5" customHeight="1">
      <c r="A103" s="431"/>
      <c r="B103" s="580"/>
      <c r="C103" s="581"/>
      <c r="D103" s="451"/>
      <c r="E103" s="582"/>
      <c r="F103" s="443"/>
      <c r="G103" s="583"/>
      <c r="H103" s="584"/>
      <c r="I103" s="502"/>
      <c r="J103" s="503"/>
    </row>
    <row r="104" ht="13.5" customHeight="1">
      <c r="A104" s="431"/>
      <c r="B104" s="580"/>
      <c r="C104" s="585"/>
      <c r="D104" s="443"/>
      <c r="E104" s="582"/>
      <c r="F104" s="443"/>
      <c r="G104" s="583"/>
      <c r="H104" s="586"/>
      <c r="I104" s="502"/>
      <c r="J104" s="503"/>
    </row>
    <row r="105" ht="13.5" customHeight="1">
      <c r="A105" s="431"/>
      <c r="B105" s="468">
        <v>2000.0</v>
      </c>
      <c r="C105" s="587" t="s">
        <v>297</v>
      </c>
      <c r="D105" s="588" t="s">
        <v>186</v>
      </c>
      <c r="E105" s="589" t="s">
        <v>187</v>
      </c>
      <c r="F105" s="588" t="s">
        <v>188</v>
      </c>
      <c r="G105" s="590" t="s">
        <v>189</v>
      </c>
      <c r="H105" s="591" t="s">
        <v>190</v>
      </c>
      <c r="I105" s="502"/>
      <c r="J105" s="503"/>
    </row>
    <row r="106" ht="13.5" customHeight="1">
      <c r="A106" s="431"/>
      <c r="B106" s="592"/>
      <c r="C106" s="593"/>
      <c r="D106" s="594"/>
      <c r="E106" s="595"/>
      <c r="F106" s="594"/>
      <c r="G106" s="594"/>
      <c r="H106" s="596"/>
      <c r="I106" s="502"/>
      <c r="J106" s="503"/>
    </row>
    <row r="107" ht="20.25" customHeight="1">
      <c r="B107" s="597">
        <v>2000.0</v>
      </c>
      <c r="C107" s="598" t="s">
        <v>298</v>
      </c>
      <c r="D107" s="599"/>
      <c r="E107" s="599"/>
      <c r="F107" s="600"/>
      <c r="G107" s="600"/>
      <c r="H107" s="601">
        <f>SUM(H108:H117)</f>
        <v>245000</v>
      </c>
      <c r="I107" s="502"/>
    </row>
    <row r="108" ht="13.5" customHeight="1">
      <c r="A108" s="520"/>
      <c r="B108" s="504">
        <v>2010.0</v>
      </c>
      <c r="C108" s="509" t="s">
        <v>299</v>
      </c>
      <c r="D108" s="509">
        <v>1.0</v>
      </c>
      <c r="E108" s="511" t="s">
        <v>233</v>
      </c>
      <c r="F108" s="507">
        <v>1.0</v>
      </c>
      <c r="G108" s="508">
        <v>120000.0</v>
      </c>
      <c r="H108" s="496">
        <f t="shared" ref="H108:H116" si="8">D108*F108*G108</f>
        <v>120000</v>
      </c>
      <c r="I108" s="502"/>
      <c r="J108" s="503"/>
    </row>
    <row r="109" ht="13.5" customHeight="1">
      <c r="A109" s="431"/>
      <c r="B109" s="510">
        <v>2020.0</v>
      </c>
      <c r="C109" s="509" t="s">
        <v>300</v>
      </c>
      <c r="D109" s="509">
        <v>1.0</v>
      </c>
      <c r="E109" s="511" t="s">
        <v>233</v>
      </c>
      <c r="F109" s="507">
        <v>1.0</v>
      </c>
      <c r="G109" s="508">
        <v>120000.0</v>
      </c>
      <c r="H109" s="496">
        <f t="shared" si="8"/>
        <v>120000</v>
      </c>
      <c r="I109" s="502"/>
      <c r="J109" s="548"/>
    </row>
    <row r="110" ht="13.5" customHeight="1">
      <c r="A110" s="431"/>
      <c r="B110" s="504">
        <v>2030.0</v>
      </c>
      <c r="C110" s="505" t="s">
        <v>301</v>
      </c>
      <c r="D110" s="505"/>
      <c r="E110" s="506" t="s">
        <v>231</v>
      </c>
      <c r="F110" s="507">
        <v>1.0</v>
      </c>
      <c r="G110" s="512">
        <v>0.0</v>
      </c>
      <c r="H110" s="496">
        <f t="shared" si="8"/>
        <v>0</v>
      </c>
      <c r="I110" s="502"/>
      <c r="J110" s="548"/>
    </row>
    <row r="111" ht="13.5" customHeight="1">
      <c r="A111" s="602"/>
      <c r="B111" s="510">
        <v>2040.0</v>
      </c>
      <c r="C111" s="509" t="s">
        <v>302</v>
      </c>
      <c r="D111" s="505"/>
      <c r="E111" s="506" t="s">
        <v>231</v>
      </c>
      <c r="F111" s="507">
        <v>1.0</v>
      </c>
      <c r="G111" s="512">
        <v>0.0</v>
      </c>
      <c r="H111" s="496">
        <f t="shared" si="8"/>
        <v>0</v>
      </c>
      <c r="I111" s="502"/>
      <c r="J111" s="548"/>
    </row>
    <row r="112" ht="13.5" customHeight="1">
      <c r="A112" s="602"/>
      <c r="B112" s="510">
        <v>2050.0</v>
      </c>
      <c r="C112" s="505" t="s">
        <v>303</v>
      </c>
      <c r="D112" s="505"/>
      <c r="E112" s="506" t="s">
        <v>304</v>
      </c>
      <c r="F112" s="507">
        <v>1.0</v>
      </c>
      <c r="G112" s="508">
        <v>1500.0</v>
      </c>
      <c r="H112" s="496">
        <f t="shared" si="8"/>
        <v>0</v>
      </c>
      <c r="I112" s="502"/>
      <c r="J112" s="548"/>
    </row>
    <row r="113" ht="12.75" customHeight="1">
      <c r="A113" s="431"/>
      <c r="B113" s="510">
        <v>2060.0</v>
      </c>
      <c r="C113" s="505" t="s">
        <v>305</v>
      </c>
      <c r="D113" s="505"/>
      <c r="E113" s="506" t="s">
        <v>231</v>
      </c>
      <c r="F113" s="507">
        <v>1.0</v>
      </c>
      <c r="G113" s="508">
        <v>0.0</v>
      </c>
      <c r="H113" s="496">
        <f t="shared" si="8"/>
        <v>0</v>
      </c>
      <c r="I113" s="502"/>
      <c r="J113" s="548"/>
    </row>
    <row r="114">
      <c r="A114" s="603"/>
      <c r="B114" s="510">
        <v>2080.0</v>
      </c>
      <c r="C114" s="509" t="s">
        <v>306</v>
      </c>
      <c r="D114" s="509">
        <v>1.0</v>
      </c>
      <c r="E114" s="511" t="s">
        <v>233</v>
      </c>
      <c r="F114" s="507">
        <v>1.0</v>
      </c>
      <c r="G114" s="508">
        <v>5000.0</v>
      </c>
      <c r="H114" s="496">
        <f t="shared" si="8"/>
        <v>5000</v>
      </c>
      <c r="I114" s="604"/>
    </row>
    <row r="115" ht="12.75" customHeight="1">
      <c r="A115" s="520"/>
      <c r="B115" s="510">
        <v>2098.0</v>
      </c>
      <c r="C115" s="509" t="s">
        <v>275</v>
      </c>
      <c r="D115" s="505"/>
      <c r="E115" s="506" t="s">
        <v>278</v>
      </c>
      <c r="F115" s="507">
        <v>1.0</v>
      </c>
      <c r="G115" s="512">
        <v>0.0</v>
      </c>
      <c r="H115" s="496">
        <f t="shared" si="8"/>
        <v>0</v>
      </c>
      <c r="I115" s="605"/>
      <c r="J115" s="548"/>
    </row>
    <row r="116" ht="13.5" customHeight="1">
      <c r="A116" s="431"/>
      <c r="B116" s="504">
        <v>2099.0</v>
      </c>
      <c r="C116" s="529" t="s">
        <v>277</v>
      </c>
      <c r="D116" s="512"/>
      <c r="E116" s="506" t="s">
        <v>278</v>
      </c>
      <c r="F116" s="507">
        <v>1.0</v>
      </c>
      <c r="G116" s="541">
        <f>FRINGE</f>
        <v>0.1835</v>
      </c>
      <c r="H116" s="496">
        <f t="shared" si="8"/>
        <v>0</v>
      </c>
      <c r="I116" s="502"/>
      <c r="J116" s="548"/>
    </row>
    <row r="117" ht="13.5" customHeight="1">
      <c r="A117" s="431"/>
      <c r="B117" s="504"/>
      <c r="C117" s="533"/>
      <c r="D117" s="606"/>
      <c r="E117" s="607"/>
      <c r="F117" s="608"/>
      <c r="G117" s="609"/>
      <c r="H117" s="496"/>
      <c r="I117" s="432"/>
      <c r="J117" s="429"/>
    </row>
    <row r="118" ht="12.75" customHeight="1">
      <c r="A118" s="431"/>
      <c r="B118" s="567"/>
      <c r="C118" s="568"/>
      <c r="D118" s="610"/>
      <c r="E118" s="611"/>
      <c r="F118" s="610"/>
      <c r="G118" s="571"/>
      <c r="H118" s="572"/>
      <c r="I118" s="432"/>
      <c r="J118" s="429"/>
    </row>
    <row r="119" ht="12.75" customHeight="1">
      <c r="A119" s="431"/>
      <c r="B119" s="573"/>
      <c r="C119" s="574" t="s">
        <v>296</v>
      </c>
      <c r="D119" s="575"/>
      <c r="E119" s="576"/>
      <c r="F119" s="577"/>
      <c r="G119" s="578"/>
      <c r="H119" s="579">
        <f>SUM(H107:H117)/2</f>
        <v>245000</v>
      </c>
      <c r="I119" s="432"/>
      <c r="J119" s="429"/>
    </row>
    <row r="120" ht="13.5" customHeight="1">
      <c r="A120" s="431"/>
      <c r="B120" s="580"/>
      <c r="C120" s="585"/>
      <c r="D120" s="443"/>
      <c r="E120" s="582"/>
      <c r="F120" s="443"/>
      <c r="G120" s="583"/>
      <c r="H120" s="586"/>
      <c r="I120" s="432"/>
      <c r="J120" s="429"/>
    </row>
    <row r="121" ht="13.5" customHeight="1">
      <c r="A121" s="431"/>
      <c r="B121" s="580"/>
      <c r="C121" s="585"/>
      <c r="D121" s="443"/>
      <c r="E121" s="582"/>
      <c r="F121" s="443"/>
      <c r="G121" s="583"/>
      <c r="H121" s="586"/>
      <c r="I121" s="432"/>
      <c r="J121" s="429"/>
    </row>
    <row r="122" ht="13.5" customHeight="1">
      <c r="A122" s="539"/>
      <c r="B122" s="468">
        <v>3000.0</v>
      </c>
      <c r="C122" s="612" t="s">
        <v>307</v>
      </c>
      <c r="D122" s="613" t="s">
        <v>186</v>
      </c>
      <c r="E122" s="614" t="s">
        <v>187</v>
      </c>
      <c r="F122" s="613" t="s">
        <v>188</v>
      </c>
      <c r="G122" s="423" t="s">
        <v>189</v>
      </c>
      <c r="H122" s="424" t="s">
        <v>190</v>
      </c>
      <c r="I122" s="432"/>
      <c r="J122" s="429"/>
    </row>
    <row r="123" ht="13.5" customHeight="1">
      <c r="A123" s="431"/>
      <c r="B123" s="592"/>
      <c r="C123" s="615"/>
      <c r="D123" s="616"/>
      <c r="E123" s="617"/>
      <c r="F123" s="616"/>
      <c r="G123" s="618"/>
      <c r="H123" s="619"/>
      <c r="I123" s="432"/>
      <c r="J123" s="429"/>
    </row>
    <row r="124" ht="13.5" customHeight="1">
      <c r="A124" s="431"/>
      <c r="B124" s="543">
        <v>3000.0</v>
      </c>
      <c r="C124" s="544" t="s">
        <v>307</v>
      </c>
      <c r="D124" s="505"/>
      <c r="E124" s="506"/>
      <c r="F124" s="513"/>
      <c r="G124" s="512"/>
      <c r="H124" s="515">
        <f>SUM(H125:H134)</f>
        <v>0</v>
      </c>
      <c r="I124" s="432"/>
      <c r="J124" s="429"/>
    </row>
    <row r="125" ht="13.5" customHeight="1">
      <c r="A125" s="431"/>
      <c r="B125" s="510">
        <v>3010.0</v>
      </c>
      <c r="C125" s="509" t="s">
        <v>308</v>
      </c>
      <c r="D125" s="505"/>
      <c r="E125" s="511" t="s">
        <v>239</v>
      </c>
      <c r="F125" s="507">
        <v>1.0</v>
      </c>
      <c r="G125" s="508">
        <v>783.0</v>
      </c>
      <c r="H125" s="496">
        <f t="shared" ref="H125:H133" si="9">D125*F125*G125</f>
        <v>0</v>
      </c>
      <c r="I125" s="432"/>
      <c r="J125" s="429"/>
    </row>
    <row r="126" ht="13.5" customHeight="1">
      <c r="A126" s="431"/>
      <c r="B126" s="510">
        <v>3020.0</v>
      </c>
      <c r="C126" s="509" t="s">
        <v>309</v>
      </c>
      <c r="D126" s="505"/>
      <c r="E126" s="511" t="s">
        <v>310</v>
      </c>
      <c r="F126" s="507">
        <v>1.0</v>
      </c>
      <c r="G126" s="508">
        <v>100.0</v>
      </c>
      <c r="H126" s="496">
        <f t="shared" si="9"/>
        <v>0</v>
      </c>
      <c r="I126" s="499"/>
      <c r="J126" s="500"/>
    </row>
    <row r="127" ht="13.5" customHeight="1">
      <c r="A127" s="431"/>
      <c r="B127" s="510">
        <v>3030.0</v>
      </c>
      <c r="C127" s="509" t="s">
        <v>311</v>
      </c>
      <c r="D127" s="512"/>
      <c r="E127" s="511" t="s">
        <v>239</v>
      </c>
      <c r="F127" s="507">
        <v>1.0</v>
      </c>
      <c r="G127" s="508">
        <v>783.0</v>
      </c>
      <c r="H127" s="496">
        <f t="shared" si="9"/>
        <v>0</v>
      </c>
      <c r="I127" s="499"/>
      <c r="J127" s="500"/>
    </row>
    <row r="128" ht="13.5" customHeight="1">
      <c r="A128" s="431"/>
      <c r="B128" s="510">
        <v>3040.0</v>
      </c>
      <c r="C128" s="509" t="s">
        <v>312</v>
      </c>
      <c r="D128" s="512"/>
      <c r="E128" s="511" t="s">
        <v>231</v>
      </c>
      <c r="F128" s="507">
        <v>1.0</v>
      </c>
      <c r="G128" s="508">
        <v>0.0</v>
      </c>
      <c r="H128" s="496">
        <f t="shared" si="9"/>
        <v>0</v>
      </c>
      <c r="I128" s="499"/>
      <c r="J128" s="500"/>
    </row>
    <row r="129" ht="12.75" customHeight="1">
      <c r="A129" s="620"/>
      <c r="B129" s="621">
        <v>3050.0</v>
      </c>
      <c r="C129" s="622" t="s">
        <v>313</v>
      </c>
      <c r="D129" s="623"/>
      <c r="E129" s="511" t="s">
        <v>231</v>
      </c>
      <c r="F129" s="624"/>
      <c r="G129" s="625">
        <v>600.0</v>
      </c>
      <c r="H129" s="496">
        <f t="shared" si="9"/>
        <v>0</v>
      </c>
      <c r="I129" s="626"/>
      <c r="J129" s="548"/>
    </row>
    <row r="130" ht="12.75" customHeight="1">
      <c r="A130" s="520"/>
      <c r="B130" s="510">
        <v>3080.0</v>
      </c>
      <c r="C130" s="509" t="s">
        <v>314</v>
      </c>
      <c r="D130" s="509">
        <v>0.0</v>
      </c>
      <c r="E130" s="511" t="s">
        <v>233</v>
      </c>
      <c r="F130" s="507">
        <v>1.0</v>
      </c>
      <c r="G130" s="508">
        <v>0.0</v>
      </c>
      <c r="H130" s="496">
        <f t="shared" si="9"/>
        <v>0</v>
      </c>
      <c r="I130" s="467"/>
      <c r="J130" s="548"/>
    </row>
    <row r="131" ht="13.5" customHeight="1">
      <c r="A131" s="431"/>
      <c r="B131" s="510">
        <v>3097.0</v>
      </c>
      <c r="C131" s="509" t="s">
        <v>315</v>
      </c>
      <c r="D131" s="512">
        <f t="shared" ref="D131:D133" si="10">sum(H$125:H$126)</f>
        <v>0</v>
      </c>
      <c r="E131" s="511" t="s">
        <v>278</v>
      </c>
      <c r="F131" s="507">
        <v>1.0</v>
      </c>
      <c r="G131" s="627">
        <v>0.1</v>
      </c>
      <c r="H131" s="496">
        <f t="shared" si="9"/>
        <v>0</v>
      </c>
      <c r="I131" s="499"/>
      <c r="J131" s="500"/>
    </row>
    <row r="132" ht="13.5" customHeight="1">
      <c r="A132" s="431"/>
      <c r="B132" s="510">
        <v>3098.0</v>
      </c>
      <c r="C132" s="509" t="s">
        <v>316</v>
      </c>
      <c r="D132" s="512">
        <f t="shared" si="10"/>
        <v>0</v>
      </c>
      <c r="E132" s="511" t="s">
        <v>278</v>
      </c>
      <c r="F132" s="507">
        <v>1.0</v>
      </c>
      <c r="G132" s="627">
        <v>0.21</v>
      </c>
      <c r="H132" s="496">
        <f t="shared" si="9"/>
        <v>0</v>
      </c>
      <c r="I132" s="499"/>
      <c r="J132" s="500"/>
    </row>
    <row r="133" ht="13.5" customHeight="1">
      <c r="A133" s="431"/>
      <c r="B133" s="510">
        <v>3099.0</v>
      </c>
      <c r="C133" s="529" t="s">
        <v>277</v>
      </c>
      <c r="D133" s="512">
        <f t="shared" si="10"/>
        <v>0</v>
      </c>
      <c r="E133" s="540" t="s">
        <v>278</v>
      </c>
      <c r="F133" s="507">
        <v>1.0</v>
      </c>
      <c r="G133" s="541">
        <f>FRINGE</f>
        <v>0.1835</v>
      </c>
      <c r="H133" s="496">
        <f t="shared" si="9"/>
        <v>0</v>
      </c>
      <c r="I133" s="499"/>
      <c r="J133" s="500"/>
    </row>
    <row r="134" ht="12.75" customHeight="1">
      <c r="A134" s="431"/>
      <c r="B134" s="504"/>
      <c r="C134" s="628"/>
      <c r="D134" s="628"/>
      <c r="E134" s="629"/>
      <c r="F134" s="630"/>
      <c r="G134" s="606"/>
      <c r="H134" s="496"/>
      <c r="I134" s="432"/>
      <c r="J134" s="429"/>
    </row>
    <row r="135" ht="13.5" customHeight="1">
      <c r="A135" s="431"/>
      <c r="B135" s="631"/>
      <c r="C135" s="568"/>
      <c r="D135" s="610"/>
      <c r="E135" s="611"/>
      <c r="F135" s="610"/>
      <c r="G135" s="571"/>
      <c r="H135" s="572"/>
      <c r="I135" s="432"/>
      <c r="J135" s="429"/>
    </row>
    <row r="136" ht="13.5" customHeight="1">
      <c r="A136" s="431"/>
      <c r="B136" s="632"/>
      <c r="C136" s="574" t="s">
        <v>296</v>
      </c>
      <c r="D136" s="575"/>
      <c r="E136" s="576"/>
      <c r="F136" s="577"/>
      <c r="G136" s="578"/>
      <c r="H136" s="579">
        <f>SUM(H123:H134)/2</f>
        <v>0</v>
      </c>
      <c r="I136" s="432"/>
      <c r="J136" s="429"/>
    </row>
    <row r="137" ht="13.5" customHeight="1">
      <c r="A137" s="431"/>
      <c r="B137" s="633"/>
      <c r="C137" s="634"/>
      <c r="D137" s="435"/>
      <c r="E137" s="635"/>
      <c r="F137" s="435"/>
      <c r="G137" s="583"/>
      <c r="H137" s="586"/>
      <c r="I137" s="499"/>
      <c r="J137" s="500"/>
    </row>
    <row r="138" ht="13.5" customHeight="1">
      <c r="A138" s="636"/>
      <c r="B138" s="637" t="s">
        <v>317</v>
      </c>
      <c r="C138" s="638" t="s">
        <v>318</v>
      </c>
      <c r="D138" s="639"/>
      <c r="E138" s="640"/>
      <c r="F138" s="641"/>
      <c r="G138" s="642"/>
      <c r="H138" s="643">
        <f>sum(H26:H137)/3</f>
        <v>255615.15</v>
      </c>
      <c r="I138" s="644">
        <f>H138/I1</f>
        <v>0.1987394826</v>
      </c>
    </row>
    <row r="139" ht="13.5" customHeight="1">
      <c r="A139" s="431"/>
      <c r="B139" s="635"/>
      <c r="C139" s="634"/>
      <c r="D139" s="435"/>
      <c r="E139" s="635"/>
      <c r="F139" s="435"/>
      <c r="G139" s="583"/>
      <c r="H139" s="583"/>
      <c r="I139" s="499"/>
      <c r="J139" s="500"/>
    </row>
    <row r="140" ht="13.5" customHeight="1">
      <c r="A140" s="431"/>
      <c r="B140" s="635"/>
      <c r="C140" s="634"/>
      <c r="D140" s="435"/>
      <c r="E140" s="635"/>
      <c r="F140" s="435"/>
      <c r="G140" s="583"/>
      <c r="H140" s="583"/>
      <c r="I140" s="499"/>
      <c r="J140" s="500"/>
    </row>
    <row r="141" ht="13.5" customHeight="1">
      <c r="A141" s="431"/>
      <c r="B141" s="645"/>
      <c r="C141" s="646" t="s">
        <v>319</v>
      </c>
      <c r="D141" s="613" t="s">
        <v>186</v>
      </c>
      <c r="E141" s="614" t="s">
        <v>187</v>
      </c>
      <c r="F141" s="613" t="s">
        <v>188</v>
      </c>
      <c r="G141" s="423" t="s">
        <v>189</v>
      </c>
      <c r="H141" s="424" t="s">
        <v>190</v>
      </c>
      <c r="I141" s="499"/>
      <c r="J141" s="500"/>
    </row>
    <row r="142" ht="13.5" customHeight="1">
      <c r="A142" s="431"/>
      <c r="B142" s="580"/>
      <c r="C142" s="647"/>
      <c r="D142" s="616"/>
      <c r="E142" s="617"/>
      <c r="F142" s="616"/>
      <c r="G142" s="618"/>
      <c r="H142" s="619"/>
      <c r="I142" s="499"/>
      <c r="J142" s="500"/>
    </row>
    <row r="143" ht="13.5" customHeight="1">
      <c r="A143" s="431"/>
      <c r="B143" s="597">
        <v>4000.0</v>
      </c>
      <c r="C143" s="648" t="s">
        <v>320</v>
      </c>
      <c r="D143" s="649"/>
      <c r="E143" s="650"/>
      <c r="F143" s="651"/>
      <c r="G143" s="652"/>
      <c r="H143" s="653">
        <f>SUM(H144:H160)</f>
        <v>180536.72</v>
      </c>
      <c r="I143" s="499"/>
      <c r="J143" s="500"/>
    </row>
    <row r="144" ht="13.5" customHeight="1">
      <c r="A144" s="431"/>
      <c r="B144" s="654">
        <v>4010.0</v>
      </c>
      <c r="C144" s="655" t="s">
        <v>321</v>
      </c>
      <c r="D144" s="656"/>
      <c r="E144" s="657" t="s">
        <v>196</v>
      </c>
      <c r="F144" s="658"/>
      <c r="G144" s="656">
        <v>2500.0</v>
      </c>
      <c r="H144" s="496">
        <f t="shared" ref="H144:H148" si="11">D144*F144*G144</f>
        <v>0</v>
      </c>
      <c r="I144" s="499"/>
      <c r="J144" s="500"/>
    </row>
    <row r="145" ht="12.75" customHeight="1">
      <c r="A145" s="431"/>
      <c r="B145" s="654">
        <v>4012.0</v>
      </c>
      <c r="C145" s="659" t="s">
        <v>322</v>
      </c>
      <c r="D145" s="656">
        <v>95.0</v>
      </c>
      <c r="E145" s="657" t="s">
        <v>196</v>
      </c>
      <c r="F145" s="658">
        <v>0.6</v>
      </c>
      <c r="G145" s="656">
        <v>1600.0</v>
      </c>
      <c r="H145" s="496">
        <f t="shared" si="11"/>
        <v>91200</v>
      </c>
      <c r="I145" s="499"/>
    </row>
    <row r="146" ht="13.5" customHeight="1">
      <c r="A146" s="431"/>
      <c r="B146" s="504">
        <v>4015.0</v>
      </c>
      <c r="C146" s="660" t="s">
        <v>323</v>
      </c>
      <c r="D146" s="505"/>
      <c r="E146" s="540" t="s">
        <v>196</v>
      </c>
      <c r="F146" s="507">
        <v>1.0</v>
      </c>
      <c r="G146" s="508">
        <v>1200.0</v>
      </c>
      <c r="H146" s="496">
        <f t="shared" si="11"/>
        <v>0</v>
      </c>
      <c r="I146" s="499"/>
      <c r="J146" s="500"/>
    </row>
    <row r="147" ht="13.5" customHeight="1">
      <c r="A147" s="431"/>
      <c r="B147" s="510">
        <v>4020.0</v>
      </c>
      <c r="C147" s="661" t="s">
        <v>324</v>
      </c>
      <c r="D147" s="505"/>
      <c r="E147" s="540" t="s">
        <v>196</v>
      </c>
      <c r="F147" s="507">
        <v>1.0</v>
      </c>
      <c r="G147" s="512">
        <v>2000.0</v>
      </c>
      <c r="H147" s="496">
        <f t="shared" si="11"/>
        <v>0</v>
      </c>
      <c r="I147" s="499"/>
      <c r="J147" s="500"/>
    </row>
    <row r="148" ht="13.5" customHeight="1">
      <c r="A148" s="431"/>
      <c r="B148" s="510">
        <v>4025.0</v>
      </c>
      <c r="C148" s="662" t="s">
        <v>325</v>
      </c>
      <c r="D148" s="505"/>
      <c r="E148" s="540" t="s">
        <v>196</v>
      </c>
      <c r="F148" s="507">
        <v>1.0</v>
      </c>
      <c r="G148" s="508">
        <v>1200.0</v>
      </c>
      <c r="H148" s="496">
        <f t="shared" si="11"/>
        <v>0</v>
      </c>
      <c r="I148" s="663"/>
      <c r="J148" s="500"/>
    </row>
    <row r="149" ht="13.5" customHeight="1">
      <c r="A149" s="664"/>
      <c r="B149" s="510">
        <v>4030.0</v>
      </c>
      <c r="C149" s="665" t="s">
        <v>326</v>
      </c>
      <c r="D149" s="509"/>
      <c r="E149" s="540"/>
      <c r="F149" s="507"/>
      <c r="G149" s="512"/>
      <c r="H149" s="496"/>
      <c r="J149" s="500"/>
    </row>
    <row r="150" ht="13.5" customHeight="1">
      <c r="A150" s="520"/>
      <c r="B150" s="510"/>
      <c r="C150" s="554" t="s">
        <v>327</v>
      </c>
      <c r="D150" s="666">
        <v>5.0</v>
      </c>
      <c r="E150" s="530" t="s">
        <v>239</v>
      </c>
      <c r="F150" s="531">
        <v>1.0</v>
      </c>
      <c r="G150" s="667">
        <v>450.0</v>
      </c>
      <c r="H150" s="496">
        <f t="shared" ref="H150:H160" si="12">D150*F150*G150</f>
        <v>2250</v>
      </c>
      <c r="I150" s="668"/>
      <c r="J150" s="500"/>
    </row>
    <row r="151" ht="13.5" customHeight="1">
      <c r="A151" s="520"/>
      <c r="B151" s="510"/>
      <c r="C151" s="554" t="s">
        <v>328</v>
      </c>
      <c r="D151" s="666">
        <v>3.0</v>
      </c>
      <c r="E151" s="530" t="s">
        <v>239</v>
      </c>
      <c r="F151" s="531">
        <v>1.0</v>
      </c>
      <c r="G151" s="667">
        <v>450.0</v>
      </c>
      <c r="H151" s="496">
        <f t="shared" si="12"/>
        <v>1350</v>
      </c>
      <c r="I151" s="669"/>
      <c r="J151" s="500"/>
    </row>
    <row r="152" ht="13.5" customHeight="1">
      <c r="B152" s="510"/>
      <c r="C152" s="554" t="s">
        <v>329</v>
      </c>
      <c r="D152" s="666">
        <v>4.0</v>
      </c>
      <c r="E152" s="530" t="s">
        <v>239</v>
      </c>
      <c r="F152" s="531">
        <v>1.0</v>
      </c>
      <c r="G152" s="667">
        <v>450.0</v>
      </c>
      <c r="H152" s="496">
        <f t="shared" si="12"/>
        <v>1800</v>
      </c>
      <c r="I152" s="669"/>
      <c r="J152" s="500"/>
    </row>
    <row r="153" ht="13.5" customHeight="1">
      <c r="B153" s="510">
        <v>4040.0</v>
      </c>
      <c r="C153" s="660" t="s">
        <v>330</v>
      </c>
      <c r="D153" s="505">
        <v>0.0</v>
      </c>
      <c r="E153" s="670" t="s">
        <v>239</v>
      </c>
      <c r="F153" s="507">
        <v>1.0</v>
      </c>
      <c r="G153" s="512">
        <v>250.0</v>
      </c>
      <c r="H153" s="496">
        <f t="shared" si="12"/>
        <v>0</v>
      </c>
      <c r="I153" s="669"/>
      <c r="J153" s="500"/>
    </row>
    <row r="154" ht="13.5" customHeight="1">
      <c r="B154" s="510">
        <v>4050.0</v>
      </c>
      <c r="C154" s="671" t="s">
        <v>331</v>
      </c>
      <c r="D154" s="505">
        <v>0.0</v>
      </c>
      <c r="E154" s="540" t="s">
        <v>196</v>
      </c>
      <c r="F154" s="507">
        <v>1.0</v>
      </c>
      <c r="G154" s="508">
        <v>1400.0</v>
      </c>
      <c r="H154" s="496">
        <f t="shared" si="12"/>
        <v>0</v>
      </c>
      <c r="I154" s="669"/>
      <c r="J154" s="500"/>
    </row>
    <row r="155" ht="13.5" customHeight="1">
      <c r="B155" s="510">
        <v>4060.0</v>
      </c>
      <c r="C155" s="509" t="s">
        <v>332</v>
      </c>
      <c r="D155" s="509"/>
      <c r="E155" s="506" t="s">
        <v>196</v>
      </c>
      <c r="F155" s="672">
        <v>1.0</v>
      </c>
      <c r="G155" s="508">
        <v>2100.0</v>
      </c>
      <c r="H155" s="496">
        <f t="shared" si="12"/>
        <v>0</v>
      </c>
      <c r="I155" s="669"/>
      <c r="J155" s="500"/>
    </row>
    <row r="156" ht="13.5" customHeight="1">
      <c r="A156" s="431"/>
      <c r="B156" s="510">
        <v>4065.0</v>
      </c>
      <c r="C156" s="509" t="s">
        <v>333</v>
      </c>
      <c r="D156" s="509">
        <v>9.0</v>
      </c>
      <c r="E156" s="506" t="s">
        <v>196</v>
      </c>
      <c r="F156" s="672">
        <v>0.4</v>
      </c>
      <c r="G156" s="508">
        <v>1700.0</v>
      </c>
      <c r="H156" s="496">
        <f t="shared" si="12"/>
        <v>6120</v>
      </c>
      <c r="I156" s="669"/>
      <c r="J156" s="500"/>
    </row>
    <row r="157" ht="13.5" customHeight="1">
      <c r="A157" s="431"/>
      <c r="B157" s="510">
        <v>4070.0</v>
      </c>
      <c r="C157" s="671" t="s">
        <v>334</v>
      </c>
      <c r="D157" s="509">
        <v>95.0</v>
      </c>
      <c r="E157" s="540" t="s">
        <v>196</v>
      </c>
      <c r="F157" s="672">
        <v>0.6</v>
      </c>
      <c r="G157" s="508">
        <v>800.0</v>
      </c>
      <c r="H157" s="496">
        <f t="shared" si="12"/>
        <v>45600</v>
      </c>
      <c r="I157" s="669"/>
      <c r="J157" s="500"/>
    </row>
    <row r="158" ht="12.75" customHeight="1">
      <c r="A158" s="664"/>
      <c r="B158" s="510">
        <v>4080.0</v>
      </c>
      <c r="C158" s="509" t="s">
        <v>335</v>
      </c>
      <c r="D158" s="509">
        <v>1.0</v>
      </c>
      <c r="E158" s="511" t="s">
        <v>233</v>
      </c>
      <c r="F158" s="507">
        <v>1.0</v>
      </c>
      <c r="G158" s="508">
        <v>5000.0</v>
      </c>
      <c r="H158" s="496">
        <f t="shared" si="12"/>
        <v>5000</v>
      </c>
      <c r="I158" s="467"/>
      <c r="J158" s="548"/>
    </row>
    <row r="159" ht="13.5" customHeight="1">
      <c r="A159" s="431"/>
      <c r="B159" s="504">
        <v>4098.0</v>
      </c>
      <c r="C159" s="505" t="s">
        <v>336</v>
      </c>
      <c r="D159" s="505"/>
      <c r="E159" s="673" t="s">
        <v>233</v>
      </c>
      <c r="F159" s="507">
        <v>1.0</v>
      </c>
      <c r="G159" s="512">
        <v>0.0</v>
      </c>
      <c r="H159" s="496">
        <f t="shared" si="12"/>
        <v>0</v>
      </c>
      <c r="I159" s="499"/>
      <c r="J159" s="500"/>
    </row>
    <row r="160" ht="13.5" customHeight="1">
      <c r="A160" s="431"/>
      <c r="B160" s="504">
        <v>4099.0</v>
      </c>
      <c r="C160" s="529" t="s">
        <v>277</v>
      </c>
      <c r="D160" s="674">
        <f>sum(H144:H157)</f>
        <v>148320</v>
      </c>
      <c r="E160" s="540" t="s">
        <v>337</v>
      </c>
      <c r="F160" s="507">
        <v>1.0</v>
      </c>
      <c r="G160" s="541">
        <f>FRINGE</f>
        <v>0.1835</v>
      </c>
      <c r="H160" s="496">
        <f t="shared" si="12"/>
        <v>27216.72</v>
      </c>
      <c r="I160" s="499"/>
      <c r="J160" s="500"/>
    </row>
    <row r="161" ht="13.5" customHeight="1">
      <c r="A161" s="431"/>
      <c r="B161" s="504"/>
      <c r="C161" s="675"/>
      <c r="D161" s="505"/>
      <c r="E161" s="676"/>
      <c r="F161" s="677"/>
      <c r="G161" s="678"/>
      <c r="H161" s="496"/>
      <c r="I161" s="499"/>
      <c r="J161" s="500"/>
    </row>
    <row r="162" ht="13.5" customHeight="1">
      <c r="A162" s="431"/>
      <c r="B162" s="522">
        <v>4100.0</v>
      </c>
      <c r="C162" s="679" t="s">
        <v>338</v>
      </c>
      <c r="D162" s="505"/>
      <c r="E162" s="680"/>
      <c r="F162" s="681"/>
      <c r="G162" s="682"/>
      <c r="H162" s="515">
        <f>sum(H163:H209)</f>
        <v>87332.15</v>
      </c>
      <c r="I162" s="499"/>
      <c r="J162" s="500"/>
    </row>
    <row r="163" ht="13.5" customHeight="1">
      <c r="A163" s="431"/>
      <c r="B163" s="510">
        <v>4110.0</v>
      </c>
      <c r="C163" s="675" t="s">
        <v>265</v>
      </c>
      <c r="D163" s="505"/>
      <c r="E163" s="680"/>
      <c r="F163" s="681"/>
      <c r="G163" s="682"/>
      <c r="H163" s="496"/>
      <c r="I163" s="499"/>
      <c r="J163" s="500"/>
    </row>
    <row r="164" ht="13.5" customHeight="1">
      <c r="A164" s="431"/>
      <c r="B164" s="504"/>
      <c r="C164" s="519" t="s">
        <v>339</v>
      </c>
      <c r="D164" s="509">
        <v>1.0</v>
      </c>
      <c r="E164" s="511" t="s">
        <v>239</v>
      </c>
      <c r="F164" s="507">
        <v>1.0</v>
      </c>
      <c r="G164" s="508">
        <v>900.0</v>
      </c>
      <c r="H164" s="496">
        <f t="shared" ref="H164:H173" si="13">D164*F164*G164</f>
        <v>900</v>
      </c>
      <c r="I164" s="499"/>
    </row>
    <row r="165" ht="13.5" customHeight="1">
      <c r="A165" s="431"/>
      <c r="B165" s="504"/>
      <c r="C165" s="519" t="s">
        <v>340</v>
      </c>
      <c r="D165" s="509">
        <v>2.0</v>
      </c>
      <c r="E165" s="511" t="s">
        <v>239</v>
      </c>
      <c r="F165" s="507">
        <v>1.0</v>
      </c>
      <c r="G165" s="508">
        <v>900.0</v>
      </c>
      <c r="H165" s="496">
        <f t="shared" si="13"/>
        <v>1800</v>
      </c>
      <c r="I165" s="499"/>
      <c r="J165" s="500"/>
    </row>
    <row r="166" ht="13.5" customHeight="1">
      <c r="A166" s="431"/>
      <c r="B166" s="504"/>
      <c r="C166" s="519" t="s">
        <v>341</v>
      </c>
      <c r="D166" s="509">
        <v>1.0</v>
      </c>
      <c r="E166" s="511" t="s">
        <v>239</v>
      </c>
      <c r="F166" s="507">
        <v>1.0</v>
      </c>
      <c r="G166" s="508">
        <v>900.0</v>
      </c>
      <c r="H166" s="496">
        <f t="shared" si="13"/>
        <v>900</v>
      </c>
      <c r="I166" s="499"/>
      <c r="J166" s="500"/>
    </row>
    <row r="167" ht="13.5" customHeight="1">
      <c r="A167" s="431"/>
      <c r="B167" s="504"/>
      <c r="C167" s="519" t="s">
        <v>342</v>
      </c>
      <c r="D167" s="505">
        <f>SHOOTINTW_DAYS</f>
        <v>10</v>
      </c>
      <c r="E167" s="506" t="s">
        <v>239</v>
      </c>
      <c r="F167" s="507">
        <v>1.0</v>
      </c>
      <c r="G167" s="508">
        <v>900.0</v>
      </c>
      <c r="H167" s="496">
        <f t="shared" si="13"/>
        <v>9000</v>
      </c>
      <c r="I167" s="499"/>
      <c r="J167" s="500"/>
    </row>
    <row r="168" ht="13.5" customHeight="1">
      <c r="A168" s="431"/>
      <c r="B168" s="504"/>
      <c r="C168" s="671" t="s">
        <v>343</v>
      </c>
      <c r="D168" s="505">
        <f>SHOOTVIS_DAYS</f>
        <v>53</v>
      </c>
      <c r="E168" s="670" t="s">
        <v>239</v>
      </c>
      <c r="F168" s="507">
        <v>1.0</v>
      </c>
      <c r="G168" s="508">
        <v>0.0</v>
      </c>
      <c r="H168" s="496">
        <f t="shared" si="13"/>
        <v>0</v>
      </c>
      <c r="I168" s="499"/>
      <c r="J168" s="500"/>
    </row>
    <row r="169" ht="13.5" customHeight="1">
      <c r="A169" s="431"/>
      <c r="B169" s="504"/>
      <c r="C169" s="671" t="s">
        <v>344</v>
      </c>
      <c r="D169" s="509">
        <v>0.0</v>
      </c>
      <c r="E169" s="670" t="s">
        <v>239</v>
      </c>
      <c r="F169" s="507">
        <v>1.0</v>
      </c>
      <c r="G169" s="508">
        <v>900.0</v>
      </c>
      <c r="H169" s="496">
        <f t="shared" si="13"/>
        <v>0</v>
      </c>
      <c r="I169" s="499"/>
      <c r="J169" s="500"/>
    </row>
    <row r="170" ht="13.5" customHeight="1">
      <c r="A170" s="431"/>
      <c r="B170" s="510"/>
      <c r="C170" s="671" t="s">
        <v>345</v>
      </c>
      <c r="D170" s="509">
        <v>1.0</v>
      </c>
      <c r="E170" s="670" t="s">
        <v>239</v>
      </c>
      <c r="F170" s="507">
        <v>1.0</v>
      </c>
      <c r="G170" s="508">
        <v>900.0</v>
      </c>
      <c r="H170" s="496">
        <f t="shared" si="13"/>
        <v>900</v>
      </c>
      <c r="I170" s="499"/>
      <c r="J170" s="500"/>
    </row>
    <row r="171" ht="13.5" customHeight="1">
      <c r="A171" s="431"/>
      <c r="B171" s="510">
        <v>4112.0</v>
      </c>
      <c r="C171" s="671" t="s">
        <v>346</v>
      </c>
      <c r="D171" s="505">
        <f>BCAM_DAYS</f>
        <v>0</v>
      </c>
      <c r="E171" s="540" t="s">
        <v>239</v>
      </c>
      <c r="F171" s="507">
        <v>1.0</v>
      </c>
      <c r="G171" s="508">
        <v>800.0</v>
      </c>
      <c r="H171" s="496">
        <f t="shared" si="13"/>
        <v>0</v>
      </c>
      <c r="I171" s="499"/>
      <c r="J171" s="500"/>
    </row>
    <row r="172" ht="13.5" customHeight="1">
      <c r="A172" s="431"/>
      <c r="B172" s="510">
        <v>4113.0</v>
      </c>
      <c r="C172" s="671" t="s">
        <v>347</v>
      </c>
      <c r="D172" s="505"/>
      <c r="E172" s="540" t="s">
        <v>239</v>
      </c>
      <c r="F172" s="507">
        <v>1.0</v>
      </c>
      <c r="G172" s="508">
        <v>0.0</v>
      </c>
      <c r="H172" s="496">
        <f t="shared" si="13"/>
        <v>0</v>
      </c>
      <c r="I172" s="499"/>
      <c r="J172" s="500"/>
    </row>
    <row r="173" ht="13.5" customHeight="1">
      <c r="A173" s="431"/>
      <c r="B173" s="510">
        <v>4114.0</v>
      </c>
      <c r="C173" s="671" t="s">
        <v>348</v>
      </c>
      <c r="D173" s="509">
        <v>2.0</v>
      </c>
      <c r="E173" s="540" t="s">
        <v>239</v>
      </c>
      <c r="F173" s="507">
        <v>1.0</v>
      </c>
      <c r="G173" s="508">
        <v>650.0</v>
      </c>
      <c r="H173" s="496">
        <f t="shared" si="13"/>
        <v>1300</v>
      </c>
      <c r="I173" s="499"/>
      <c r="J173" s="500"/>
    </row>
    <row r="174" ht="13.5" customHeight="1">
      <c r="A174" s="431"/>
      <c r="B174" s="510">
        <v>4115.0</v>
      </c>
      <c r="C174" s="671" t="s">
        <v>349</v>
      </c>
      <c r="D174" s="505"/>
      <c r="E174" s="540"/>
      <c r="F174" s="513"/>
      <c r="G174" s="508"/>
      <c r="H174" s="683"/>
      <c r="I174" s="499"/>
      <c r="J174" s="500"/>
    </row>
    <row r="175" ht="13.5" customHeight="1">
      <c r="A175" s="431"/>
      <c r="B175" s="504"/>
      <c r="C175" s="671" t="s">
        <v>350</v>
      </c>
      <c r="D175" s="509">
        <v>4.0</v>
      </c>
      <c r="E175" s="670" t="s">
        <v>239</v>
      </c>
      <c r="F175" s="507">
        <v>1.0</v>
      </c>
      <c r="G175" s="508">
        <v>650.0</v>
      </c>
      <c r="H175" s="496">
        <f t="shared" ref="H175:H179" si="14">D175*F175*G175</f>
        <v>2600</v>
      </c>
      <c r="I175" s="499"/>
      <c r="J175" s="500"/>
    </row>
    <row r="176" ht="13.5" customHeight="1">
      <c r="A176" s="431"/>
      <c r="B176" s="504"/>
      <c r="C176" s="671" t="s">
        <v>341</v>
      </c>
      <c r="D176" s="509">
        <v>1.0</v>
      </c>
      <c r="E176" s="670" t="s">
        <v>239</v>
      </c>
      <c r="F176" s="507">
        <v>1.0</v>
      </c>
      <c r="G176" s="508">
        <v>650.0</v>
      </c>
      <c r="H176" s="496">
        <f t="shared" si="14"/>
        <v>650</v>
      </c>
      <c r="I176" s="499"/>
      <c r="J176" s="500"/>
    </row>
    <row r="177" ht="13.5" customHeight="1">
      <c r="A177" s="431"/>
      <c r="B177" s="504"/>
      <c r="C177" s="671" t="s">
        <v>342</v>
      </c>
      <c r="D177" s="505">
        <f>SHOOTINTW_DAYS</f>
        <v>10</v>
      </c>
      <c r="E177" s="540" t="s">
        <v>239</v>
      </c>
      <c r="F177" s="507">
        <v>1.0</v>
      </c>
      <c r="G177" s="508">
        <v>650.0</v>
      </c>
      <c r="H177" s="496">
        <f t="shared" si="14"/>
        <v>6500</v>
      </c>
      <c r="I177" s="499"/>
      <c r="J177" s="500"/>
    </row>
    <row r="178" ht="13.5" customHeight="1">
      <c r="A178" s="431"/>
      <c r="B178" s="504"/>
      <c r="C178" s="671" t="s">
        <v>351</v>
      </c>
      <c r="D178" s="505"/>
      <c r="E178" s="670" t="s">
        <v>239</v>
      </c>
      <c r="F178" s="507">
        <v>1.0</v>
      </c>
      <c r="G178" s="508">
        <v>650.0</v>
      </c>
      <c r="H178" s="496">
        <f t="shared" si="14"/>
        <v>0</v>
      </c>
      <c r="I178" s="499"/>
      <c r="J178" s="500"/>
    </row>
    <row r="179" ht="13.5" customHeight="1">
      <c r="A179" s="431"/>
      <c r="B179" s="510">
        <v>4117.0</v>
      </c>
      <c r="C179" s="671" t="s">
        <v>352</v>
      </c>
      <c r="D179" s="505"/>
      <c r="E179" s="670" t="s">
        <v>239</v>
      </c>
      <c r="F179" s="507">
        <v>1.0</v>
      </c>
      <c r="G179" s="508">
        <v>750.0</v>
      </c>
      <c r="H179" s="496">
        <f t="shared" si="14"/>
        <v>0</v>
      </c>
      <c r="I179" s="499"/>
      <c r="J179" s="500"/>
    </row>
    <row r="180" ht="13.5" customHeight="1">
      <c r="A180" s="431"/>
      <c r="B180" s="510">
        <v>4118.0</v>
      </c>
      <c r="C180" s="671" t="s">
        <v>353</v>
      </c>
      <c r="D180" s="505"/>
      <c r="E180" s="540"/>
      <c r="F180" s="513"/>
      <c r="G180" s="512"/>
      <c r="H180" s="683"/>
      <c r="I180" s="499"/>
      <c r="J180" s="500"/>
    </row>
    <row r="181" ht="13.5" customHeight="1">
      <c r="A181" s="431"/>
      <c r="B181" s="504"/>
      <c r="C181" s="671" t="s">
        <v>341</v>
      </c>
      <c r="D181" s="509">
        <v>1.0</v>
      </c>
      <c r="E181" s="670" t="s">
        <v>239</v>
      </c>
      <c r="F181" s="507">
        <v>1.0</v>
      </c>
      <c r="G181" s="508">
        <v>550.0</v>
      </c>
      <c r="H181" s="496">
        <f t="shared" ref="H181:H183" si="15">D181*F181*G181</f>
        <v>550</v>
      </c>
      <c r="I181" s="499"/>
      <c r="J181" s="500"/>
    </row>
    <row r="182" ht="13.5" customHeight="1">
      <c r="A182" s="431"/>
      <c r="B182" s="504"/>
      <c r="C182" s="671" t="s">
        <v>342</v>
      </c>
      <c r="D182" s="505">
        <f>SHOOTINTW_DAYS</f>
        <v>10</v>
      </c>
      <c r="E182" s="540" t="s">
        <v>239</v>
      </c>
      <c r="F182" s="507">
        <v>1.0</v>
      </c>
      <c r="G182" s="508">
        <v>550.0</v>
      </c>
      <c r="H182" s="496">
        <f t="shared" si="15"/>
        <v>5500</v>
      </c>
      <c r="I182" s="499"/>
      <c r="J182" s="500"/>
    </row>
    <row r="183" ht="12.75" customHeight="1">
      <c r="A183" s="431"/>
      <c r="B183" s="504"/>
      <c r="C183" s="671" t="s">
        <v>351</v>
      </c>
      <c r="D183" s="505">
        <f>SHOOTVIS_DAYS</f>
        <v>53</v>
      </c>
      <c r="E183" s="670" t="s">
        <v>239</v>
      </c>
      <c r="F183" s="672">
        <f>1/3</f>
        <v>0.3333333333</v>
      </c>
      <c r="G183" s="508">
        <v>550.0</v>
      </c>
      <c r="H183" s="496">
        <f t="shared" si="15"/>
        <v>9716.666667</v>
      </c>
      <c r="I183" s="499"/>
      <c r="J183" s="500"/>
    </row>
    <row r="184" ht="13.5" customHeight="1">
      <c r="A184" s="431"/>
      <c r="B184" s="510">
        <v>4120.0</v>
      </c>
      <c r="C184" s="660" t="s">
        <v>354</v>
      </c>
      <c r="D184" s="505"/>
      <c r="E184" s="540"/>
      <c r="F184" s="513"/>
      <c r="G184" s="512"/>
      <c r="H184" s="683"/>
      <c r="I184" s="499"/>
      <c r="J184" s="500"/>
    </row>
    <row r="185" ht="13.5" customHeight="1">
      <c r="A185" s="431"/>
      <c r="B185" s="504"/>
      <c r="C185" s="671" t="s">
        <v>355</v>
      </c>
      <c r="D185" s="509">
        <v>0.0</v>
      </c>
      <c r="E185" s="670" t="s">
        <v>239</v>
      </c>
      <c r="F185" s="507">
        <v>1.0</v>
      </c>
      <c r="G185" s="508">
        <v>750.0</v>
      </c>
      <c r="H185" s="496">
        <f t="shared" ref="H185:H188" si="16">D185*F185*G185</f>
        <v>0</v>
      </c>
      <c r="I185" s="499"/>
    </row>
    <row r="186" ht="13.5" customHeight="1">
      <c r="A186" s="431"/>
      <c r="B186" s="504"/>
      <c r="C186" s="671" t="s">
        <v>341</v>
      </c>
      <c r="D186" s="509">
        <v>1.0</v>
      </c>
      <c r="E186" s="670" t="s">
        <v>239</v>
      </c>
      <c r="F186" s="507">
        <v>1.0</v>
      </c>
      <c r="G186" s="508">
        <v>750.0</v>
      </c>
      <c r="H186" s="496">
        <f t="shared" si="16"/>
        <v>750</v>
      </c>
      <c r="I186" s="499"/>
      <c r="J186" s="500"/>
    </row>
    <row r="187" ht="13.5" customHeight="1">
      <c r="A187" s="431"/>
      <c r="B187" s="504"/>
      <c r="C187" s="671" t="s">
        <v>342</v>
      </c>
      <c r="D187" s="505">
        <f>SHOOTINTW_DAYS</f>
        <v>10</v>
      </c>
      <c r="E187" s="540" t="s">
        <v>239</v>
      </c>
      <c r="F187" s="507">
        <v>1.0</v>
      </c>
      <c r="G187" s="508">
        <v>750.0</v>
      </c>
      <c r="H187" s="496">
        <f t="shared" si="16"/>
        <v>7500</v>
      </c>
      <c r="I187" s="499"/>
      <c r="J187" s="500"/>
    </row>
    <row r="188" ht="13.5" customHeight="1">
      <c r="A188" s="431"/>
      <c r="B188" s="504"/>
      <c r="C188" s="671" t="s">
        <v>351</v>
      </c>
      <c r="D188" s="505"/>
      <c r="E188" s="670" t="s">
        <v>239</v>
      </c>
      <c r="F188" s="507">
        <v>1.0</v>
      </c>
      <c r="G188" s="508">
        <v>750.0</v>
      </c>
      <c r="H188" s="496">
        <f t="shared" si="16"/>
        <v>0</v>
      </c>
      <c r="I188" s="499"/>
    </row>
    <row r="189" ht="13.5" customHeight="1">
      <c r="A189" s="431"/>
      <c r="B189" s="510">
        <v>4122.0</v>
      </c>
      <c r="C189" s="671" t="s">
        <v>356</v>
      </c>
      <c r="D189" s="505"/>
      <c r="E189" s="540"/>
      <c r="F189" s="513"/>
      <c r="G189" s="512"/>
      <c r="H189" s="683"/>
      <c r="I189" s="499"/>
      <c r="J189" s="500"/>
    </row>
    <row r="190" ht="13.5" customHeight="1">
      <c r="A190" s="431"/>
      <c r="B190" s="504"/>
      <c r="C190" s="671" t="s">
        <v>355</v>
      </c>
      <c r="D190" s="509">
        <v>4.0</v>
      </c>
      <c r="E190" s="670" t="s">
        <v>239</v>
      </c>
      <c r="F190" s="507">
        <v>1.0</v>
      </c>
      <c r="G190" s="508">
        <v>450.0</v>
      </c>
      <c r="H190" s="496">
        <f t="shared" ref="H190:H195" si="17">D190*F190*G190</f>
        <v>1800</v>
      </c>
      <c r="I190" s="499"/>
      <c r="J190" s="500"/>
    </row>
    <row r="191" ht="13.5" customHeight="1">
      <c r="A191" s="431"/>
      <c r="B191" s="504"/>
      <c r="C191" s="671" t="s">
        <v>341</v>
      </c>
      <c r="D191" s="509">
        <v>1.0</v>
      </c>
      <c r="E191" s="670" t="s">
        <v>239</v>
      </c>
      <c r="F191" s="507">
        <v>1.0</v>
      </c>
      <c r="G191" s="508">
        <v>450.0</v>
      </c>
      <c r="H191" s="496">
        <f t="shared" si="17"/>
        <v>450</v>
      </c>
      <c r="I191" s="499"/>
      <c r="J191" s="500"/>
    </row>
    <row r="192" ht="13.5" customHeight="1">
      <c r="A192" s="431"/>
      <c r="B192" s="504"/>
      <c r="C192" s="671" t="s">
        <v>342</v>
      </c>
      <c r="D192" s="505">
        <f>SHOOTINTW_DAYS</f>
        <v>10</v>
      </c>
      <c r="E192" s="540" t="s">
        <v>239</v>
      </c>
      <c r="F192" s="507">
        <v>1.0</v>
      </c>
      <c r="G192" s="508">
        <v>450.0</v>
      </c>
      <c r="H192" s="496">
        <f t="shared" si="17"/>
        <v>4500</v>
      </c>
      <c r="I192" s="499"/>
      <c r="J192" s="500"/>
    </row>
    <row r="193" ht="13.5" customHeight="1">
      <c r="A193" s="431"/>
      <c r="B193" s="504"/>
      <c r="C193" s="671" t="s">
        <v>351</v>
      </c>
      <c r="D193" s="505"/>
      <c r="E193" s="670" t="s">
        <v>239</v>
      </c>
      <c r="F193" s="507">
        <v>1.0</v>
      </c>
      <c r="G193" s="508">
        <v>450.0</v>
      </c>
      <c r="H193" s="496">
        <f t="shared" si="17"/>
        <v>0</v>
      </c>
      <c r="I193" s="499"/>
      <c r="J193" s="500"/>
    </row>
    <row r="194" ht="13.5" customHeight="1">
      <c r="A194" s="431"/>
      <c r="B194" s="510">
        <v>4123.0</v>
      </c>
      <c r="C194" s="671" t="s">
        <v>357</v>
      </c>
      <c r="D194" s="505"/>
      <c r="E194" s="670" t="s">
        <v>239</v>
      </c>
      <c r="F194" s="507">
        <v>1.0</v>
      </c>
      <c r="G194" s="508">
        <v>450.0</v>
      </c>
      <c r="H194" s="496">
        <f t="shared" si="17"/>
        <v>0</v>
      </c>
      <c r="I194" s="499"/>
      <c r="J194" s="500"/>
    </row>
    <row r="195" ht="13.5" customHeight="1">
      <c r="A195" s="431"/>
      <c r="B195" s="510">
        <v>4125.0</v>
      </c>
      <c r="C195" s="671" t="s">
        <v>358</v>
      </c>
      <c r="D195" s="505"/>
      <c r="E195" s="670" t="s">
        <v>239</v>
      </c>
      <c r="F195" s="507">
        <v>1.0</v>
      </c>
      <c r="G195" s="508">
        <v>700.0</v>
      </c>
      <c r="H195" s="496">
        <f t="shared" si="17"/>
        <v>0</v>
      </c>
      <c r="I195" s="499"/>
      <c r="J195" s="500"/>
    </row>
    <row r="196" ht="13.5" customHeight="1">
      <c r="A196" s="431"/>
      <c r="B196" s="510">
        <v>4130.0</v>
      </c>
      <c r="C196" s="660" t="s">
        <v>359</v>
      </c>
      <c r="D196" s="505"/>
      <c r="E196" s="540"/>
      <c r="F196" s="513"/>
      <c r="G196" s="512"/>
      <c r="H196" s="683"/>
      <c r="I196" s="499"/>
      <c r="J196" s="500"/>
    </row>
    <row r="197" ht="13.5" customHeight="1">
      <c r="A197" s="431"/>
      <c r="B197" s="504"/>
      <c r="C197" s="671" t="s">
        <v>341</v>
      </c>
      <c r="D197" s="509">
        <v>1.0</v>
      </c>
      <c r="E197" s="670" t="s">
        <v>239</v>
      </c>
      <c r="F197" s="507">
        <v>1.0</v>
      </c>
      <c r="G197" s="508">
        <v>750.0</v>
      </c>
      <c r="H197" s="496">
        <f t="shared" ref="H197:H202" si="18">D197*F197*G197</f>
        <v>750</v>
      </c>
      <c r="I197" s="499"/>
      <c r="J197" s="500"/>
    </row>
    <row r="198" ht="13.5" customHeight="1">
      <c r="A198" s="431"/>
      <c r="B198" s="504"/>
      <c r="C198" s="671" t="s">
        <v>342</v>
      </c>
      <c r="D198" s="505">
        <f>SOUND_DAYS</f>
        <v>10</v>
      </c>
      <c r="E198" s="540" t="s">
        <v>239</v>
      </c>
      <c r="F198" s="507">
        <v>1.0</v>
      </c>
      <c r="G198" s="508">
        <v>750.0</v>
      </c>
      <c r="H198" s="496">
        <f t="shared" si="18"/>
        <v>7500</v>
      </c>
      <c r="I198" s="499"/>
      <c r="J198" s="500"/>
    </row>
    <row r="199" ht="13.5" customHeight="1">
      <c r="A199" s="431"/>
      <c r="B199" s="504"/>
      <c r="C199" s="671" t="s">
        <v>360</v>
      </c>
      <c r="D199" s="505">
        <f>SHOOTVIS_DAYS</f>
        <v>53</v>
      </c>
      <c r="E199" s="670" t="s">
        <v>239</v>
      </c>
      <c r="F199" s="507">
        <v>1.0</v>
      </c>
      <c r="G199" s="508">
        <v>0.0</v>
      </c>
      <c r="H199" s="496">
        <f t="shared" si="18"/>
        <v>0</v>
      </c>
      <c r="I199" s="499"/>
      <c r="J199" s="500"/>
    </row>
    <row r="200" ht="12.75" customHeight="1">
      <c r="A200" s="431"/>
      <c r="B200" s="510">
        <v>4140.0</v>
      </c>
      <c r="C200" s="671" t="s">
        <v>361</v>
      </c>
      <c r="D200" s="505"/>
      <c r="E200" s="670" t="s">
        <v>239</v>
      </c>
      <c r="F200" s="507">
        <v>1.0</v>
      </c>
      <c r="G200" s="508">
        <v>750.0</v>
      </c>
      <c r="H200" s="496">
        <f t="shared" si="18"/>
        <v>0</v>
      </c>
      <c r="I200" s="499"/>
      <c r="J200" s="500"/>
    </row>
    <row r="201" ht="13.5" customHeight="1">
      <c r="A201" s="431"/>
      <c r="B201" s="510">
        <v>4150.0</v>
      </c>
      <c r="C201" s="660" t="s">
        <v>362</v>
      </c>
      <c r="D201" s="505"/>
      <c r="E201" s="540"/>
      <c r="F201" s="513"/>
      <c r="G201" s="512"/>
      <c r="H201" s="496">
        <f t="shared" si="18"/>
        <v>0</v>
      </c>
      <c r="I201" s="499"/>
      <c r="J201" s="500"/>
    </row>
    <row r="202" ht="13.5" customHeight="1">
      <c r="A202" s="431"/>
      <c r="B202" s="504"/>
      <c r="C202" s="671" t="s">
        <v>342</v>
      </c>
      <c r="D202" s="505">
        <f>SHOOTINTW_DAYS</f>
        <v>10</v>
      </c>
      <c r="E202" s="540" t="s">
        <v>239</v>
      </c>
      <c r="F202" s="507">
        <v>1.0</v>
      </c>
      <c r="G202" s="508">
        <v>400.0</v>
      </c>
      <c r="H202" s="496">
        <f t="shared" si="18"/>
        <v>4000</v>
      </c>
      <c r="I202" s="499"/>
    </row>
    <row r="203" ht="13.5" customHeight="1">
      <c r="A203" s="431"/>
      <c r="B203" s="510">
        <v>4160.0</v>
      </c>
      <c r="C203" s="671" t="s">
        <v>363</v>
      </c>
      <c r="D203" s="505"/>
      <c r="E203" s="540"/>
      <c r="F203" s="513"/>
      <c r="G203" s="512"/>
      <c r="H203" s="683"/>
      <c r="I203" s="499"/>
      <c r="J203" s="500"/>
    </row>
    <row r="204" ht="13.5" customHeight="1">
      <c r="A204" s="431"/>
      <c r="B204" s="504"/>
      <c r="C204" s="671" t="s">
        <v>364</v>
      </c>
      <c r="D204" s="505"/>
      <c r="E204" s="540" t="s">
        <v>196</v>
      </c>
      <c r="F204" s="507">
        <v>1.0</v>
      </c>
      <c r="G204" s="512"/>
      <c r="H204" s="496">
        <f t="shared" ref="H204:H209" si="19">D204*F204*G204</f>
        <v>0</v>
      </c>
      <c r="I204" s="499"/>
      <c r="J204" s="500"/>
    </row>
    <row r="205" ht="13.5" customHeight="1">
      <c r="A205" s="431"/>
      <c r="B205" s="504"/>
      <c r="C205" s="671" t="s">
        <v>365</v>
      </c>
      <c r="D205" s="505">
        <f>SHOOTINTW_DAYS</f>
        <v>10</v>
      </c>
      <c r="E205" s="540" t="s">
        <v>239</v>
      </c>
      <c r="F205" s="507">
        <v>1.0</v>
      </c>
      <c r="G205" s="508">
        <v>200.0</v>
      </c>
      <c r="H205" s="496">
        <f t="shared" si="19"/>
        <v>2000</v>
      </c>
      <c r="I205" s="499"/>
      <c r="J205" s="500"/>
    </row>
    <row r="206" ht="12.75" customHeight="1">
      <c r="A206" s="684"/>
      <c r="B206" s="621">
        <v>4170.0</v>
      </c>
      <c r="C206" s="685" t="s">
        <v>366</v>
      </c>
      <c r="D206" s="623"/>
      <c r="E206" s="686" t="s">
        <v>239</v>
      </c>
      <c r="F206" s="624">
        <v>1.0</v>
      </c>
      <c r="G206" s="625">
        <v>320.0</v>
      </c>
      <c r="H206" s="687">
        <f t="shared" si="19"/>
        <v>0</v>
      </c>
      <c r="I206" s="626"/>
      <c r="J206" s="548"/>
    </row>
    <row r="207" ht="12.75" customHeight="1">
      <c r="A207" s="688"/>
      <c r="B207" s="510">
        <v>4180.0</v>
      </c>
      <c r="C207" s="509" t="s">
        <v>367</v>
      </c>
      <c r="D207" s="509">
        <v>1.0</v>
      </c>
      <c r="E207" s="511" t="s">
        <v>233</v>
      </c>
      <c r="F207" s="507">
        <v>1.0</v>
      </c>
      <c r="G207" s="508">
        <v>5000.0</v>
      </c>
      <c r="H207" s="496">
        <f t="shared" si="19"/>
        <v>5000</v>
      </c>
      <c r="I207" s="502"/>
      <c r="J207" s="548"/>
    </row>
    <row r="208" ht="13.5" customHeight="1">
      <c r="A208" s="431"/>
      <c r="B208" s="510">
        <v>4198.0</v>
      </c>
      <c r="C208" s="505" t="s">
        <v>336</v>
      </c>
      <c r="D208" s="505"/>
      <c r="E208" s="673" t="s">
        <v>233</v>
      </c>
      <c r="F208" s="507">
        <v>1.0</v>
      </c>
      <c r="G208" s="512">
        <v>0.0</v>
      </c>
      <c r="H208" s="496">
        <f t="shared" si="19"/>
        <v>0</v>
      </c>
      <c r="I208" s="499"/>
      <c r="J208" s="500"/>
    </row>
    <row r="209" ht="13.5" customHeight="1">
      <c r="A209" s="431"/>
      <c r="B209" s="510">
        <v>4199.0</v>
      </c>
      <c r="C209" s="529" t="s">
        <v>277</v>
      </c>
      <c r="D209" s="674">
        <f>sum(H$163:H$205)</f>
        <v>69566.66667</v>
      </c>
      <c r="E209" s="540" t="s">
        <v>337</v>
      </c>
      <c r="F209" s="507">
        <v>1.0</v>
      </c>
      <c r="G209" s="627">
        <f>FRINGE</f>
        <v>0.1835</v>
      </c>
      <c r="H209" s="496">
        <f t="shared" si="19"/>
        <v>12765.48333</v>
      </c>
      <c r="I209" s="499"/>
      <c r="J209" s="500"/>
    </row>
    <row r="210" ht="13.5" customHeight="1">
      <c r="A210" s="431"/>
      <c r="B210" s="504"/>
      <c r="C210" s="660"/>
      <c r="D210" s="505"/>
      <c r="E210" s="540"/>
      <c r="F210" s="513"/>
      <c r="G210" s="512"/>
      <c r="H210" s="683"/>
      <c r="I210" s="499"/>
      <c r="J210" s="500"/>
    </row>
    <row r="211" ht="13.5" customHeight="1">
      <c r="A211" s="431"/>
      <c r="B211" s="522">
        <v>4200.0</v>
      </c>
      <c r="C211" s="689" t="s">
        <v>368</v>
      </c>
      <c r="D211" s="498" t="s">
        <v>1</v>
      </c>
      <c r="E211" s="690" t="s">
        <v>1</v>
      </c>
      <c r="F211" s="691"/>
      <c r="G211" s="692" t="s">
        <v>1</v>
      </c>
      <c r="H211" s="693">
        <f>SUM(H212:H226)</f>
        <v>271108.7</v>
      </c>
      <c r="I211" s="499"/>
      <c r="J211" s="500"/>
    </row>
    <row r="212" ht="13.5" customHeight="1">
      <c r="A212" s="431"/>
      <c r="B212" s="510">
        <v>4210.0</v>
      </c>
      <c r="C212" s="660" t="s">
        <v>369</v>
      </c>
      <c r="D212" s="505"/>
      <c r="E212" s="540"/>
      <c r="F212" s="513"/>
      <c r="G212" s="512"/>
      <c r="H212" s="683"/>
      <c r="I212" s="499"/>
      <c r="J212" s="500"/>
    </row>
    <row r="213" ht="13.5" customHeight="1">
      <c r="A213" s="431"/>
      <c r="B213" s="504"/>
      <c r="C213" s="671" t="s">
        <v>370</v>
      </c>
      <c r="D213" s="509">
        <v>0.2</v>
      </c>
      <c r="E213" s="540" t="s">
        <v>304</v>
      </c>
      <c r="F213" s="507">
        <v>1.0</v>
      </c>
      <c r="G213" s="508">
        <v>3300.0</v>
      </c>
      <c r="H213" s="496">
        <f t="shared" ref="H213:H217" si="20">D213*F213*G213</f>
        <v>660</v>
      </c>
      <c r="I213" s="499"/>
      <c r="J213" s="500"/>
    </row>
    <row r="214" ht="13.5" customHeight="1">
      <c r="A214" s="431"/>
      <c r="B214" s="504"/>
      <c r="C214" s="671" t="s">
        <v>371</v>
      </c>
      <c r="D214" s="509">
        <f>EDIT_WEEKS</f>
        <v>40</v>
      </c>
      <c r="E214" s="540" t="s">
        <v>196</v>
      </c>
      <c r="F214" s="507">
        <v>1.0</v>
      </c>
      <c r="G214" s="508">
        <v>3300.0</v>
      </c>
      <c r="H214" s="496">
        <f t="shared" si="20"/>
        <v>132000</v>
      </c>
      <c r="I214" s="499"/>
      <c r="J214" s="500"/>
    </row>
    <row r="215" ht="13.5" customHeight="1">
      <c r="A215" s="431"/>
      <c r="B215" s="504"/>
      <c r="C215" s="660" t="s">
        <v>372</v>
      </c>
      <c r="D215" s="509">
        <v>0.2</v>
      </c>
      <c r="E215" s="540" t="s">
        <v>196</v>
      </c>
      <c r="F215" s="507">
        <v>1.0</v>
      </c>
      <c r="G215" s="508">
        <v>3300.0</v>
      </c>
      <c r="H215" s="496">
        <f t="shared" si="20"/>
        <v>660</v>
      </c>
      <c r="I215" s="499"/>
      <c r="J215" s="500"/>
    </row>
    <row r="216" ht="13.5" customHeight="1">
      <c r="A216" s="431"/>
      <c r="B216" s="504"/>
      <c r="C216" s="671" t="s">
        <v>373</v>
      </c>
      <c r="D216" s="509">
        <v>0.0</v>
      </c>
      <c r="E216" s="540" t="s">
        <v>196</v>
      </c>
      <c r="F216" s="507">
        <v>1.0</v>
      </c>
      <c r="G216" s="508">
        <v>3300.0</v>
      </c>
      <c r="H216" s="496">
        <f t="shared" si="20"/>
        <v>0</v>
      </c>
      <c r="J216" s="548"/>
    </row>
    <row r="217" ht="13.5" customHeight="1">
      <c r="A217" s="431"/>
      <c r="B217" s="510">
        <v>4220.0</v>
      </c>
      <c r="C217" s="671" t="s">
        <v>374</v>
      </c>
      <c r="D217" s="505"/>
      <c r="E217" s="670" t="s">
        <v>239</v>
      </c>
      <c r="F217" s="507">
        <v>1.0</v>
      </c>
      <c r="G217" s="508">
        <v>1000.0</v>
      </c>
      <c r="H217" s="496">
        <f t="shared" si="20"/>
        <v>0</v>
      </c>
      <c r="I217" s="499"/>
      <c r="J217" s="500"/>
    </row>
    <row r="218" ht="12.75" customHeight="1">
      <c r="A218" s="431"/>
      <c r="B218" s="510">
        <v>4230.0</v>
      </c>
      <c r="C218" s="671" t="s">
        <v>375</v>
      </c>
      <c r="D218" s="505"/>
      <c r="E218" s="540"/>
      <c r="F218" s="513"/>
      <c r="G218" s="512"/>
      <c r="H218" s="683"/>
      <c r="I218" s="499"/>
      <c r="J218" s="500"/>
    </row>
    <row r="219" ht="13.5" customHeight="1">
      <c r="A219" s="431"/>
      <c r="B219" s="504"/>
      <c r="C219" s="660" t="s">
        <v>376</v>
      </c>
      <c r="D219" s="505">
        <v>1.0</v>
      </c>
      <c r="E219" s="540" t="s">
        <v>196</v>
      </c>
      <c r="F219" s="507">
        <v>1.0</v>
      </c>
      <c r="G219" s="508">
        <v>1700.0</v>
      </c>
      <c r="H219" s="496">
        <f t="shared" ref="H219:H226" si="21">D219*F219*G219</f>
        <v>1700</v>
      </c>
      <c r="I219" s="499"/>
      <c r="J219" s="500"/>
    </row>
    <row r="220" ht="13.5" customHeight="1">
      <c r="A220" s="431"/>
      <c r="B220" s="504"/>
      <c r="C220" s="660" t="s">
        <v>377</v>
      </c>
      <c r="D220" s="509">
        <v>15.0</v>
      </c>
      <c r="E220" s="540" t="s">
        <v>196</v>
      </c>
      <c r="F220" s="507">
        <v>1.0</v>
      </c>
      <c r="G220" s="508">
        <v>1700.0</v>
      </c>
      <c r="H220" s="496">
        <f t="shared" si="21"/>
        <v>25500</v>
      </c>
      <c r="I220" s="499"/>
      <c r="J220" s="500"/>
    </row>
    <row r="221" ht="13.5" customHeight="1">
      <c r="A221" s="431"/>
      <c r="B221" s="504"/>
      <c r="C221" s="660" t="s">
        <v>378</v>
      </c>
      <c r="D221" s="509">
        <f>EDIT_WEEKS</f>
        <v>40</v>
      </c>
      <c r="E221" s="540" t="s">
        <v>196</v>
      </c>
      <c r="F221" s="507">
        <v>1.0</v>
      </c>
      <c r="G221" s="508">
        <v>1700.0</v>
      </c>
      <c r="H221" s="496">
        <f t="shared" si="21"/>
        <v>68000</v>
      </c>
      <c r="I221" s="499"/>
      <c r="J221" s="500"/>
    </row>
    <row r="222" ht="13.5" customHeight="1">
      <c r="A222" s="431"/>
      <c r="B222" s="504"/>
      <c r="C222" s="662" t="s">
        <v>379</v>
      </c>
      <c r="D222" s="509">
        <v>4.0</v>
      </c>
      <c r="E222" s="670" t="s">
        <v>196</v>
      </c>
      <c r="F222" s="507">
        <v>1.0</v>
      </c>
      <c r="G222" s="508">
        <v>1700.0</v>
      </c>
      <c r="H222" s="496">
        <f t="shared" si="21"/>
        <v>6800</v>
      </c>
      <c r="I222" s="499"/>
      <c r="J222" s="500"/>
    </row>
    <row r="223" ht="13.5" customHeight="1">
      <c r="A223" s="431"/>
      <c r="B223" s="504"/>
      <c r="C223" s="662" t="s">
        <v>380</v>
      </c>
      <c r="D223" s="509">
        <v>12.0</v>
      </c>
      <c r="E223" s="540" t="s">
        <v>196</v>
      </c>
      <c r="F223" s="672">
        <v>0.5</v>
      </c>
      <c r="G223" s="508">
        <v>1700.0</v>
      </c>
      <c r="H223" s="496">
        <f t="shared" si="21"/>
        <v>10200</v>
      </c>
      <c r="I223" s="499"/>
      <c r="J223" s="500"/>
    </row>
    <row r="224" ht="12.75" customHeight="1">
      <c r="A224" s="688"/>
      <c r="B224" s="510">
        <v>4280.0</v>
      </c>
      <c r="C224" s="509" t="s">
        <v>381</v>
      </c>
      <c r="D224" s="509">
        <v>1.0</v>
      </c>
      <c r="E224" s="511" t="s">
        <v>233</v>
      </c>
      <c r="F224" s="507">
        <v>1.0</v>
      </c>
      <c r="G224" s="508">
        <v>5000.0</v>
      </c>
      <c r="H224" s="496">
        <f t="shared" si="21"/>
        <v>5000</v>
      </c>
      <c r="I224" s="502"/>
      <c r="J224" s="548"/>
    </row>
    <row r="225" ht="12.75" customHeight="1">
      <c r="A225" s="431"/>
      <c r="B225" s="510">
        <v>4298.0</v>
      </c>
      <c r="C225" s="505" t="s">
        <v>336</v>
      </c>
      <c r="D225" s="505">
        <v>0.0</v>
      </c>
      <c r="E225" s="673" t="s">
        <v>233</v>
      </c>
      <c r="F225" s="507">
        <v>1.0</v>
      </c>
      <c r="G225" s="512">
        <v>0.0</v>
      </c>
      <c r="H225" s="496">
        <f t="shared" si="21"/>
        <v>0</v>
      </c>
      <c r="I225" s="499"/>
      <c r="J225" s="500"/>
    </row>
    <row r="226" ht="13.5" customHeight="1">
      <c r="A226" s="431"/>
      <c r="B226" s="510">
        <v>4299.0</v>
      </c>
      <c r="C226" s="529" t="s">
        <v>277</v>
      </c>
      <c r="D226" s="674">
        <f>sum(H219:H223)</f>
        <v>112200</v>
      </c>
      <c r="E226" s="540" t="s">
        <v>337</v>
      </c>
      <c r="F226" s="507">
        <v>1.0</v>
      </c>
      <c r="G226" s="541">
        <f>FRINGE</f>
        <v>0.1835</v>
      </c>
      <c r="H226" s="496">
        <f t="shared" si="21"/>
        <v>20588.7</v>
      </c>
      <c r="I226" s="499"/>
      <c r="J226" s="500"/>
    </row>
    <row r="227" ht="13.5" customHeight="1">
      <c r="A227" s="431"/>
      <c r="B227" s="490"/>
      <c r="C227" s="694"/>
      <c r="D227" s="695"/>
      <c r="E227" s="696"/>
      <c r="F227" s="649"/>
      <c r="G227" s="652"/>
      <c r="H227" s="566"/>
      <c r="I227" s="499"/>
      <c r="J227" s="500"/>
    </row>
    <row r="228" ht="13.5" customHeight="1">
      <c r="A228" s="697"/>
      <c r="B228" s="522">
        <v>4300.0</v>
      </c>
      <c r="C228" s="698" t="s">
        <v>382</v>
      </c>
      <c r="D228" s="699"/>
      <c r="E228" s="700"/>
      <c r="F228" s="701"/>
      <c r="G228" s="702"/>
      <c r="H228" s="515">
        <f>sum(H229:H234)</f>
        <v>0</v>
      </c>
      <c r="I228" s="703"/>
      <c r="J228" s="500"/>
    </row>
    <row r="229" ht="13.5" customHeight="1">
      <c r="B229" s="510">
        <v>4310.0</v>
      </c>
      <c r="C229" s="529" t="s">
        <v>383</v>
      </c>
      <c r="D229" s="559"/>
      <c r="E229" s="530" t="s">
        <v>384</v>
      </c>
      <c r="F229" s="531">
        <v>1.0</v>
      </c>
      <c r="G229" s="667">
        <v>500.0</v>
      </c>
      <c r="H229" s="496">
        <f t="shared" ref="H229:H234" si="22">D229*F229*G229</f>
        <v>0</v>
      </c>
      <c r="I229" s="499"/>
      <c r="J229" s="704"/>
    </row>
    <row r="230" ht="13.5" customHeight="1">
      <c r="A230" s="431"/>
      <c r="B230" s="510">
        <v>4320.0</v>
      </c>
      <c r="C230" s="529" t="s">
        <v>385</v>
      </c>
      <c r="D230" s="559"/>
      <c r="E230" s="530" t="s">
        <v>231</v>
      </c>
      <c r="F230" s="531">
        <v>3.0</v>
      </c>
      <c r="G230" s="667">
        <v>500.0</v>
      </c>
      <c r="H230" s="496">
        <f t="shared" si="22"/>
        <v>0</v>
      </c>
      <c r="I230" s="499"/>
      <c r="J230" s="705"/>
    </row>
    <row r="231" ht="13.5" customHeight="1">
      <c r="A231" s="431"/>
      <c r="B231" s="510">
        <v>4330.0</v>
      </c>
      <c r="C231" s="529" t="s">
        <v>386</v>
      </c>
      <c r="D231" s="559"/>
      <c r="E231" s="530" t="s">
        <v>384</v>
      </c>
      <c r="F231" s="531">
        <v>1.0</v>
      </c>
      <c r="G231" s="667">
        <v>450.0</v>
      </c>
      <c r="H231" s="496">
        <f t="shared" si="22"/>
        <v>0</v>
      </c>
      <c r="I231" s="499"/>
    </row>
    <row r="232" ht="13.5" customHeight="1">
      <c r="A232" s="520"/>
      <c r="B232" s="510">
        <v>4340.0</v>
      </c>
      <c r="C232" s="529" t="s">
        <v>387</v>
      </c>
      <c r="D232" s="559"/>
      <c r="E232" s="530" t="s">
        <v>384</v>
      </c>
      <c r="F232" s="531">
        <v>1.0</v>
      </c>
      <c r="G232" s="667">
        <v>450.0</v>
      </c>
      <c r="H232" s="496">
        <f t="shared" si="22"/>
        <v>0</v>
      </c>
      <c r="I232" s="499"/>
      <c r="J232" s="500"/>
    </row>
    <row r="233">
      <c r="A233" s="688"/>
      <c r="B233" s="510">
        <v>4350.0</v>
      </c>
      <c r="C233" s="509" t="s">
        <v>388</v>
      </c>
      <c r="D233" s="505"/>
      <c r="E233" s="511" t="s">
        <v>384</v>
      </c>
      <c r="F233" s="507">
        <v>1.0</v>
      </c>
      <c r="G233" s="512"/>
      <c r="H233" s="496">
        <f t="shared" si="22"/>
        <v>0</v>
      </c>
      <c r="I233" s="502"/>
      <c r="J233" s="548"/>
    </row>
    <row r="234" ht="12.75" customHeight="1">
      <c r="A234" s="688"/>
      <c r="B234" s="510">
        <v>4380.0</v>
      </c>
      <c r="C234" s="509" t="s">
        <v>389</v>
      </c>
      <c r="D234" s="505"/>
      <c r="E234" s="511" t="s">
        <v>233</v>
      </c>
      <c r="F234" s="507">
        <v>1.0</v>
      </c>
      <c r="G234" s="512"/>
      <c r="H234" s="496">
        <f t="shared" si="22"/>
        <v>0</v>
      </c>
      <c r="I234" s="502"/>
      <c r="J234" s="548"/>
    </row>
    <row r="235" ht="13.5" customHeight="1">
      <c r="A235" s="431"/>
      <c r="B235" s="549"/>
      <c r="C235" s="706"/>
      <c r="D235" s="562"/>
      <c r="E235" s="563"/>
      <c r="F235" s="564"/>
      <c r="G235" s="565"/>
      <c r="H235" s="707"/>
      <c r="I235" s="499"/>
      <c r="J235" s="500"/>
    </row>
    <row r="236" ht="12.75" customHeight="1">
      <c r="A236" s="431"/>
      <c r="B236" s="708"/>
      <c r="C236" s="709"/>
      <c r="D236" s="710"/>
      <c r="E236" s="711"/>
      <c r="F236" s="710"/>
      <c r="G236" s="712"/>
      <c r="H236" s="713"/>
      <c r="I236" s="499"/>
      <c r="J236" s="500"/>
    </row>
    <row r="237" ht="13.5" customHeight="1">
      <c r="A237" s="431"/>
      <c r="B237" s="714"/>
      <c r="C237" s="715" t="s">
        <v>296</v>
      </c>
      <c r="D237" s="716"/>
      <c r="E237" s="717"/>
      <c r="F237" s="716"/>
      <c r="G237" s="718"/>
      <c r="H237" s="579">
        <f>SUM(H141:H235)/2</f>
        <v>538977.57</v>
      </c>
      <c r="I237" s="499"/>
      <c r="J237" s="500"/>
    </row>
    <row r="238" ht="13.5" customHeight="1">
      <c r="A238" s="467"/>
      <c r="B238" s="580"/>
      <c r="C238" s="634"/>
      <c r="D238" s="443"/>
      <c r="E238" s="582"/>
      <c r="F238" s="443"/>
      <c r="G238" s="583"/>
      <c r="H238" s="586"/>
      <c r="I238" s="499"/>
      <c r="J238" s="500"/>
    </row>
    <row r="239" ht="13.5" customHeight="1">
      <c r="A239" s="431"/>
      <c r="B239" s="580"/>
      <c r="C239" s="634"/>
      <c r="D239" s="443"/>
      <c r="E239" s="582"/>
      <c r="F239" s="443"/>
      <c r="G239" s="583"/>
      <c r="H239" s="586"/>
      <c r="I239" s="499"/>
      <c r="J239" s="500"/>
    </row>
    <row r="240" ht="13.5" customHeight="1">
      <c r="A240" s="431"/>
      <c r="B240" s="645"/>
      <c r="C240" s="646" t="s">
        <v>390</v>
      </c>
      <c r="D240" s="613" t="s">
        <v>186</v>
      </c>
      <c r="E240" s="614" t="s">
        <v>187</v>
      </c>
      <c r="F240" s="613" t="s">
        <v>188</v>
      </c>
      <c r="G240" s="423" t="s">
        <v>189</v>
      </c>
      <c r="H240" s="424" t="s">
        <v>190</v>
      </c>
      <c r="I240" s="499"/>
      <c r="J240" s="500"/>
    </row>
    <row r="241" ht="13.5" customHeight="1">
      <c r="A241" s="431"/>
      <c r="B241" s="580"/>
      <c r="C241" s="719"/>
      <c r="D241" s="720"/>
      <c r="E241" s="617"/>
      <c r="F241" s="616"/>
      <c r="G241" s="618"/>
      <c r="H241" s="619"/>
      <c r="I241" s="499"/>
      <c r="J241" s="500"/>
    </row>
    <row r="242" ht="13.5" customHeight="1">
      <c r="A242" s="431"/>
      <c r="B242" s="597">
        <v>5000.0</v>
      </c>
      <c r="C242" s="721" t="s">
        <v>391</v>
      </c>
      <c r="D242" s="484"/>
      <c r="E242" s="722"/>
      <c r="F242" s="723"/>
      <c r="G242" s="724"/>
      <c r="H242" s="653">
        <f>SUM(H243:H273)</f>
        <v>26402</v>
      </c>
      <c r="I242" s="499"/>
      <c r="J242" s="500"/>
    </row>
    <row r="243" ht="12.75" customHeight="1">
      <c r="A243" s="539"/>
      <c r="B243" s="504">
        <v>5010.0</v>
      </c>
      <c r="C243" s="671" t="s">
        <v>392</v>
      </c>
      <c r="D243" s="505"/>
      <c r="E243" s="725"/>
      <c r="F243" s="556"/>
      <c r="G243" s="508"/>
      <c r="H243" s="496"/>
      <c r="J243" s="548"/>
    </row>
    <row r="244" ht="12.0" customHeight="1">
      <c r="A244" s="431"/>
      <c r="B244" s="504"/>
      <c r="C244" s="726"/>
      <c r="D244" s="505"/>
      <c r="E244" s="725"/>
      <c r="F244" s="556"/>
      <c r="G244" s="508"/>
      <c r="H244" s="496"/>
      <c r="J244" s="548"/>
    </row>
    <row r="245" ht="12.0" customHeight="1">
      <c r="A245" s="431"/>
      <c r="B245" s="504"/>
      <c r="C245" s="726" t="s">
        <v>393</v>
      </c>
      <c r="D245" s="505"/>
      <c r="E245" s="725"/>
      <c r="F245" s="556"/>
      <c r="G245" s="508"/>
      <c r="H245" s="496"/>
      <c r="J245" s="548"/>
    </row>
    <row r="246">
      <c r="B246" s="504"/>
      <c r="C246" s="727" t="s">
        <v>394</v>
      </c>
      <c r="D246" s="505">
        <v>1.0</v>
      </c>
      <c r="E246" s="725" t="s">
        <v>233</v>
      </c>
      <c r="F246" s="728">
        <v>0.75</v>
      </c>
      <c r="G246" s="508">
        <v>18686.0</v>
      </c>
      <c r="H246" s="496">
        <f>D246*F246*G246</f>
        <v>14014.5</v>
      </c>
    </row>
    <row r="247" ht="13.5" customHeight="1">
      <c r="A247" s="539"/>
      <c r="B247" s="504"/>
      <c r="C247" s="729"/>
      <c r="D247" s="505"/>
      <c r="E247" s="725"/>
      <c r="F247" s="730"/>
      <c r="G247" s="512"/>
      <c r="H247" s="496"/>
      <c r="I247" s="432"/>
      <c r="J247" s="429"/>
    </row>
    <row r="248">
      <c r="A248" s="539"/>
      <c r="B248" s="504"/>
      <c r="C248" s="727" t="s">
        <v>395</v>
      </c>
      <c r="D248" s="509">
        <v>1.0</v>
      </c>
      <c r="E248" s="731" t="s">
        <v>233</v>
      </c>
      <c r="F248" s="728">
        <v>0.75</v>
      </c>
      <c r="G248" s="508">
        <v>3700.0</v>
      </c>
      <c r="H248" s="496">
        <f>D248*F248*G248</f>
        <v>2775</v>
      </c>
      <c r="I248" s="432"/>
      <c r="J248" s="429"/>
    </row>
    <row r="249" ht="13.5" customHeight="1">
      <c r="A249" s="539"/>
      <c r="B249" s="504"/>
      <c r="C249" s="660"/>
      <c r="D249" s="505"/>
      <c r="E249" s="725"/>
      <c r="F249" s="730"/>
      <c r="G249" s="512"/>
      <c r="H249" s="496"/>
      <c r="I249" s="432"/>
      <c r="J249" s="429"/>
    </row>
    <row r="250">
      <c r="A250" s="539"/>
      <c r="B250" s="504"/>
      <c r="C250" s="671" t="s">
        <v>396</v>
      </c>
      <c r="D250" s="509">
        <v>1.0</v>
      </c>
      <c r="E250" s="731" t="s">
        <v>233</v>
      </c>
      <c r="F250" s="728">
        <v>0.75</v>
      </c>
      <c r="G250" s="508">
        <v>2500.0</v>
      </c>
      <c r="H250" s="496">
        <f>D250*F250*G250</f>
        <v>1875</v>
      </c>
      <c r="I250" s="432"/>
      <c r="J250" s="429"/>
    </row>
    <row r="251" ht="13.5" customHeight="1">
      <c r="A251" s="539"/>
      <c r="B251" s="504"/>
      <c r="C251" s="732"/>
      <c r="D251" s="505"/>
      <c r="E251" s="725"/>
      <c r="F251" s="556"/>
      <c r="G251" s="512"/>
      <c r="H251" s="496"/>
      <c r="I251" s="432"/>
      <c r="J251" s="429"/>
    </row>
    <row r="252" ht="13.5" customHeight="1">
      <c r="A252" s="539"/>
      <c r="B252" s="504"/>
      <c r="C252" s="732" t="s">
        <v>397</v>
      </c>
      <c r="D252" s="505">
        <f>SHOOTINTW_DAYS</f>
        <v>10</v>
      </c>
      <c r="E252" s="731" t="s">
        <v>239</v>
      </c>
      <c r="F252" s="547">
        <v>1.0</v>
      </c>
      <c r="G252" s="508">
        <v>450.0</v>
      </c>
      <c r="H252" s="496">
        <f>D252*F252*G252</f>
        <v>4500</v>
      </c>
      <c r="I252" s="432"/>
      <c r="J252" s="429"/>
    </row>
    <row r="253" ht="13.5" customHeight="1">
      <c r="A253" s="539"/>
      <c r="B253" s="504"/>
      <c r="C253" s="671" t="s">
        <v>398</v>
      </c>
      <c r="D253" s="505"/>
      <c r="E253" s="725"/>
      <c r="F253" s="556"/>
      <c r="G253" s="512"/>
      <c r="H253" s="496"/>
      <c r="I253" s="432"/>
      <c r="J253" s="429"/>
    </row>
    <row r="254" ht="13.5" customHeight="1">
      <c r="A254" s="539"/>
      <c r="B254" s="504"/>
      <c r="C254" s="671" t="s">
        <v>399</v>
      </c>
      <c r="D254" s="505"/>
      <c r="E254" s="725"/>
      <c r="F254" s="556"/>
      <c r="G254" s="512"/>
      <c r="H254" s="496"/>
      <c r="I254" s="432"/>
      <c r="J254" s="429"/>
    </row>
    <row r="255" ht="13.5" customHeight="1">
      <c r="A255" s="539"/>
      <c r="B255" s="504"/>
      <c r="C255" s="671" t="s">
        <v>400</v>
      </c>
      <c r="D255" s="505"/>
      <c r="E255" s="725"/>
      <c r="F255" s="556"/>
      <c r="G255" s="512"/>
      <c r="H255" s="496"/>
      <c r="I255" s="432"/>
      <c r="J255" s="429"/>
    </row>
    <row r="256" ht="13.5" customHeight="1">
      <c r="A256" s="539"/>
      <c r="B256" s="504"/>
      <c r="C256" s="732" t="s">
        <v>401</v>
      </c>
      <c r="D256" s="505"/>
      <c r="E256" s="725"/>
      <c r="F256" s="556"/>
      <c r="G256" s="512"/>
      <c r="H256" s="496"/>
      <c r="I256" s="432"/>
      <c r="J256" s="429"/>
    </row>
    <row r="257" ht="13.5" customHeight="1">
      <c r="A257" s="431"/>
      <c r="B257" s="504"/>
      <c r="C257" s="671" t="s">
        <v>402</v>
      </c>
      <c r="D257" s="535"/>
      <c r="E257" s="725"/>
      <c r="F257" s="556"/>
      <c r="G257" s="538"/>
      <c r="H257" s="496"/>
      <c r="I257" s="463"/>
      <c r="J257" s="432"/>
    </row>
    <row r="258" ht="13.5" customHeight="1">
      <c r="A258" s="431"/>
      <c r="B258" s="504"/>
      <c r="C258" s="671" t="s">
        <v>403</v>
      </c>
      <c r="D258" s="535"/>
      <c r="E258" s="725"/>
      <c r="F258" s="556"/>
      <c r="G258" s="538"/>
      <c r="H258" s="496"/>
      <c r="I258" s="463"/>
      <c r="J258" s="432"/>
    </row>
    <row r="259" ht="13.5" customHeight="1">
      <c r="A259" s="431"/>
      <c r="B259" s="504"/>
      <c r="C259" s="671" t="s">
        <v>404</v>
      </c>
      <c r="D259" s="535"/>
      <c r="E259" s="725"/>
      <c r="F259" s="556"/>
      <c r="G259" s="538"/>
      <c r="H259" s="496"/>
      <c r="I259" s="463"/>
      <c r="J259" s="432"/>
    </row>
    <row r="260" ht="13.5" customHeight="1">
      <c r="A260" s="431"/>
      <c r="B260" s="504"/>
      <c r="C260" s="671" t="s">
        <v>405</v>
      </c>
      <c r="D260" s="535"/>
      <c r="E260" s="725"/>
      <c r="F260" s="556"/>
      <c r="G260" s="538"/>
      <c r="H260" s="496"/>
      <c r="I260" s="463"/>
      <c r="J260" s="432"/>
    </row>
    <row r="261" ht="13.5" customHeight="1">
      <c r="A261" s="431"/>
      <c r="B261" s="510"/>
      <c r="C261" s="671"/>
      <c r="D261" s="733"/>
      <c r="E261" s="731"/>
      <c r="F261" s="556"/>
      <c r="G261" s="538"/>
      <c r="H261" s="496"/>
      <c r="I261" s="463"/>
      <c r="J261" s="432"/>
    </row>
    <row r="262" ht="13.5" customHeight="1">
      <c r="A262" s="431"/>
      <c r="B262" s="510">
        <v>5020.0</v>
      </c>
      <c r="C262" s="671" t="s">
        <v>406</v>
      </c>
      <c r="D262" s="509"/>
      <c r="E262" s="731" t="s">
        <v>233</v>
      </c>
      <c r="F262" s="547">
        <v>1.0</v>
      </c>
      <c r="G262" s="512"/>
      <c r="H262" s="496">
        <f t="shared" ref="H262:H264" si="23">D262*F262*G262</f>
        <v>0</v>
      </c>
      <c r="I262" s="463"/>
      <c r="J262" s="432"/>
    </row>
    <row r="263" ht="13.5" customHeight="1">
      <c r="A263" s="539"/>
      <c r="B263" s="510">
        <v>5030.0</v>
      </c>
      <c r="C263" s="671" t="s">
        <v>407</v>
      </c>
      <c r="D263" s="734">
        <v>1.0</v>
      </c>
      <c r="E263" s="731" t="s">
        <v>233</v>
      </c>
      <c r="F263" s="547">
        <v>1.0</v>
      </c>
      <c r="G263" s="735">
        <v>500.0</v>
      </c>
      <c r="H263" s="496">
        <f t="shared" si="23"/>
        <v>500</v>
      </c>
      <c r="I263" s="432"/>
      <c r="J263" s="429"/>
    </row>
    <row r="264" ht="13.5" customHeight="1">
      <c r="A264" s="431"/>
      <c r="B264" s="510">
        <v>5040.0</v>
      </c>
      <c r="C264" s="671" t="s">
        <v>408</v>
      </c>
      <c r="D264" s="505"/>
      <c r="E264" s="731" t="s">
        <v>233</v>
      </c>
      <c r="F264" s="547">
        <v>1.0</v>
      </c>
      <c r="G264" s="512"/>
      <c r="H264" s="496">
        <f t="shared" si="23"/>
        <v>0</v>
      </c>
      <c r="I264" s="463"/>
      <c r="J264" s="432"/>
    </row>
    <row r="265" ht="13.5" customHeight="1">
      <c r="A265" s="539"/>
      <c r="B265" s="510">
        <v>5050.0</v>
      </c>
      <c r="C265" s="671" t="s">
        <v>409</v>
      </c>
      <c r="D265" s="505"/>
      <c r="E265" s="725"/>
      <c r="F265" s="556"/>
      <c r="G265" s="512"/>
      <c r="H265" s="496"/>
      <c r="I265" s="432"/>
      <c r="J265" s="429"/>
    </row>
    <row r="266" ht="13.5" customHeight="1">
      <c r="A266" s="431"/>
      <c r="B266" s="510"/>
      <c r="C266" s="671" t="s">
        <v>410</v>
      </c>
      <c r="D266" s="509">
        <v>1.0</v>
      </c>
      <c r="E266" s="731" t="s">
        <v>233</v>
      </c>
      <c r="F266" s="736">
        <v>0.5</v>
      </c>
      <c r="G266" s="508">
        <v>3500.0</v>
      </c>
      <c r="H266" s="496">
        <f t="shared" ref="H266:H269" si="24">D266*F266*G266</f>
        <v>1750</v>
      </c>
      <c r="I266" s="463"/>
      <c r="J266" s="432"/>
    </row>
    <row r="267" ht="13.5" customHeight="1">
      <c r="A267" s="431"/>
      <c r="B267" s="510"/>
      <c r="C267" s="262" t="s">
        <v>411</v>
      </c>
      <c r="D267" s="509">
        <v>1.0</v>
      </c>
      <c r="E267" s="731" t="s">
        <v>233</v>
      </c>
      <c r="F267" s="736">
        <v>0.5</v>
      </c>
      <c r="G267" s="508">
        <v>75.0</v>
      </c>
      <c r="H267" s="496">
        <f t="shared" si="24"/>
        <v>37.5</v>
      </c>
      <c r="I267" s="463"/>
      <c r="J267" s="432"/>
    </row>
    <row r="268" ht="13.5" customHeight="1">
      <c r="A268" s="431"/>
      <c r="B268" s="510"/>
      <c r="C268" s="262" t="s">
        <v>412</v>
      </c>
      <c r="D268" s="509">
        <v>2.0</v>
      </c>
      <c r="E268" s="731" t="s">
        <v>413</v>
      </c>
      <c r="F268" s="736">
        <v>0.5</v>
      </c>
      <c r="G268" s="508">
        <v>300.0</v>
      </c>
      <c r="H268" s="496">
        <f t="shared" si="24"/>
        <v>300</v>
      </c>
      <c r="I268" s="463"/>
      <c r="J268" s="432"/>
    </row>
    <row r="269" ht="13.5" customHeight="1">
      <c r="A269" s="431"/>
      <c r="B269" s="510"/>
      <c r="C269" s="262" t="s">
        <v>414</v>
      </c>
      <c r="D269" s="509">
        <v>1.0</v>
      </c>
      <c r="E269" s="731" t="s">
        <v>415</v>
      </c>
      <c r="F269" s="547">
        <v>1.0</v>
      </c>
      <c r="G269" s="508">
        <v>500.0</v>
      </c>
      <c r="H269" s="496">
        <f t="shared" si="24"/>
        <v>500</v>
      </c>
      <c r="I269" s="463"/>
      <c r="J269" s="432"/>
    </row>
    <row r="270" ht="13.5" customHeight="1">
      <c r="A270" s="431"/>
      <c r="B270" s="510"/>
      <c r="C270" s="737" t="s">
        <v>416</v>
      </c>
      <c r="D270" s="505"/>
      <c r="E270" s="731"/>
      <c r="F270" s="556"/>
      <c r="G270" s="512"/>
      <c r="H270" s="496"/>
      <c r="I270" s="463"/>
      <c r="J270" s="432"/>
    </row>
    <row r="271" ht="13.5" customHeight="1">
      <c r="A271" s="431"/>
      <c r="B271" s="510">
        <v>5060.0</v>
      </c>
      <c r="C271" s="671" t="s">
        <v>417</v>
      </c>
      <c r="D271" s="505"/>
      <c r="E271" s="731" t="s">
        <v>239</v>
      </c>
      <c r="F271" s="547">
        <v>1.0</v>
      </c>
      <c r="G271" s="508">
        <v>1500.0</v>
      </c>
      <c r="H271" s="496">
        <f t="shared" ref="H271:H273" si="25">D271*F271*G271</f>
        <v>0</v>
      </c>
      <c r="I271" s="463"/>
      <c r="J271" s="432"/>
    </row>
    <row r="272" ht="13.5" customHeight="1">
      <c r="B272" s="510">
        <v>5080.0</v>
      </c>
      <c r="C272" s="671" t="s">
        <v>418</v>
      </c>
      <c r="D272" s="505"/>
      <c r="E272" s="731" t="s">
        <v>233</v>
      </c>
      <c r="F272" s="547">
        <v>1.0</v>
      </c>
      <c r="G272" s="512"/>
      <c r="H272" s="496">
        <f t="shared" si="25"/>
        <v>0</v>
      </c>
      <c r="I272" s="463"/>
      <c r="J272" s="432"/>
    </row>
    <row r="273" ht="13.5" customHeight="1">
      <c r="A273" s="431"/>
      <c r="B273" s="504">
        <v>5090.0</v>
      </c>
      <c r="C273" s="660" t="s">
        <v>169</v>
      </c>
      <c r="D273" s="505">
        <v>1.0</v>
      </c>
      <c r="E273" s="725" t="s">
        <v>233</v>
      </c>
      <c r="F273" s="547">
        <v>1.0</v>
      </c>
      <c r="G273" s="512">
        <f>MISC</f>
        <v>150</v>
      </c>
      <c r="H273" s="496">
        <f t="shared" si="25"/>
        <v>150</v>
      </c>
      <c r="I273" s="463"/>
      <c r="J273" s="432"/>
    </row>
    <row r="274" ht="12.75" customHeight="1">
      <c r="A274" s="431"/>
      <c r="B274" s="738"/>
      <c r="C274" s="739"/>
      <c r="D274" s="740"/>
      <c r="E274" s="741"/>
      <c r="F274" s="742"/>
      <c r="G274" s="532"/>
      <c r="H274" s="743"/>
      <c r="I274" s="463"/>
      <c r="J274" s="432"/>
    </row>
    <row r="275" ht="13.5" customHeight="1">
      <c r="A275" s="431"/>
      <c r="B275" s="497">
        <v>5100.0</v>
      </c>
      <c r="C275" s="689" t="s">
        <v>419</v>
      </c>
      <c r="D275" s="498"/>
      <c r="E275" s="744"/>
      <c r="F275" s="745"/>
      <c r="G275" s="692"/>
      <c r="H275" s="693">
        <f>SUM(H276:H284)</f>
        <v>6271</v>
      </c>
      <c r="I275" s="463"/>
    </row>
    <row r="276" ht="12.75" customHeight="1">
      <c r="A276" s="431"/>
      <c r="B276" s="504">
        <v>5110.0</v>
      </c>
      <c r="C276" s="671" t="s">
        <v>420</v>
      </c>
      <c r="D276" s="505"/>
      <c r="E276" s="725"/>
      <c r="F276" s="556"/>
      <c r="G276" s="508"/>
      <c r="H276" s="496"/>
      <c r="I276" s="463"/>
      <c r="J276" s="432"/>
    </row>
    <row r="277" ht="13.5" customHeight="1">
      <c r="A277" s="431"/>
      <c r="B277" s="510"/>
      <c r="C277" s="671" t="s">
        <v>421</v>
      </c>
      <c r="D277" s="505">
        <f>SHOOTINTW_DAYS</f>
        <v>10</v>
      </c>
      <c r="E277" s="731" t="s">
        <v>239</v>
      </c>
      <c r="F277" s="547">
        <v>1.0</v>
      </c>
      <c r="G277" s="508">
        <v>250.0</v>
      </c>
      <c r="H277" s="496">
        <f t="shared" ref="H277:H284" si="26">D277*F277*G277</f>
        <v>2500</v>
      </c>
      <c r="I277" s="432"/>
      <c r="J277" s="429"/>
    </row>
    <row r="278" ht="13.5" customHeight="1">
      <c r="A278" s="431"/>
      <c r="B278" s="504"/>
      <c r="C278" s="671" t="s">
        <v>422</v>
      </c>
      <c r="D278" s="505">
        <f>SHOOTVIS_DAYS</f>
        <v>53</v>
      </c>
      <c r="E278" s="731" t="s">
        <v>239</v>
      </c>
      <c r="F278" s="547">
        <v>1.0</v>
      </c>
      <c r="G278" s="508">
        <v>60.0</v>
      </c>
      <c r="H278" s="496">
        <f t="shared" si="26"/>
        <v>3180</v>
      </c>
      <c r="I278" s="432"/>
      <c r="J278" s="429"/>
    </row>
    <row r="279" ht="13.5" customHeight="1">
      <c r="A279" s="431"/>
      <c r="B279" s="504">
        <v>5120.0</v>
      </c>
      <c r="C279" s="660" t="s">
        <v>423</v>
      </c>
      <c r="D279" s="505">
        <v>0.0</v>
      </c>
      <c r="E279" s="725" t="s">
        <v>233</v>
      </c>
      <c r="F279" s="547">
        <v>1.0</v>
      </c>
      <c r="G279" s="512">
        <v>0.0</v>
      </c>
      <c r="H279" s="496">
        <f t="shared" si="26"/>
        <v>0</v>
      </c>
      <c r="I279" s="432"/>
      <c r="J279" s="429"/>
    </row>
    <row r="280" ht="13.5" customHeight="1">
      <c r="A280" s="431"/>
      <c r="B280" s="504">
        <v>5130.0</v>
      </c>
      <c r="C280" s="671" t="s">
        <v>424</v>
      </c>
      <c r="D280" s="505">
        <f>SHOOTINTW_DAYS+SHOOTVIS_DAYS</f>
        <v>63</v>
      </c>
      <c r="E280" s="725" t="s">
        <v>239</v>
      </c>
      <c r="F280" s="547">
        <v>1.0</v>
      </c>
      <c r="G280" s="746">
        <v>7.0</v>
      </c>
      <c r="H280" s="496">
        <f t="shared" si="26"/>
        <v>441</v>
      </c>
      <c r="I280" s="432"/>
      <c r="J280" s="429"/>
    </row>
    <row r="281" ht="13.5" customHeight="1">
      <c r="A281" s="409"/>
      <c r="B281" s="621">
        <v>5140.0</v>
      </c>
      <c r="C281" s="685" t="s">
        <v>425</v>
      </c>
      <c r="D281" s="623"/>
      <c r="E281" s="747" t="s">
        <v>239</v>
      </c>
      <c r="F281" s="748">
        <v>1.0</v>
      </c>
      <c r="G281" s="749"/>
      <c r="H281" s="687">
        <f t="shared" si="26"/>
        <v>0</v>
      </c>
      <c r="I281" s="750"/>
      <c r="J281" s="432"/>
    </row>
    <row r="282" ht="13.5" customHeight="1">
      <c r="A282" s="431"/>
      <c r="B282" s="510">
        <v>5150.0</v>
      </c>
      <c r="C282" s="671" t="s">
        <v>426</v>
      </c>
      <c r="D282" s="505"/>
      <c r="E282" s="731" t="s">
        <v>239</v>
      </c>
      <c r="F282" s="547">
        <v>1.0</v>
      </c>
      <c r="G282" s="512"/>
      <c r="H282" s="496">
        <f t="shared" si="26"/>
        <v>0</v>
      </c>
      <c r="I282" s="432"/>
      <c r="J282" s="429"/>
    </row>
    <row r="283" ht="13.5" customHeight="1">
      <c r="B283" s="510">
        <v>5180.0</v>
      </c>
      <c r="C283" s="671" t="s">
        <v>427</v>
      </c>
      <c r="D283" s="505"/>
      <c r="E283" s="731" t="s">
        <v>233</v>
      </c>
      <c r="F283" s="547">
        <v>1.0</v>
      </c>
      <c r="G283" s="512"/>
      <c r="H283" s="496">
        <f t="shared" si="26"/>
        <v>0</v>
      </c>
      <c r="I283" s="463"/>
      <c r="J283" s="432"/>
    </row>
    <row r="284" ht="13.5" customHeight="1">
      <c r="A284" s="431"/>
      <c r="B284" s="504">
        <v>5190.0</v>
      </c>
      <c r="C284" s="660" t="s">
        <v>169</v>
      </c>
      <c r="D284" s="505">
        <v>1.0</v>
      </c>
      <c r="E284" s="725" t="s">
        <v>233</v>
      </c>
      <c r="F284" s="547">
        <v>1.0</v>
      </c>
      <c r="G284" s="512">
        <f>MISC</f>
        <v>150</v>
      </c>
      <c r="H284" s="496">
        <f t="shared" si="26"/>
        <v>150</v>
      </c>
      <c r="I284" s="432"/>
      <c r="J284" s="429"/>
    </row>
    <row r="285" ht="13.5" customHeight="1">
      <c r="A285" s="431"/>
      <c r="B285" s="504"/>
      <c r="C285" s="660"/>
      <c r="D285" s="505"/>
      <c r="E285" s="725"/>
      <c r="F285" s="556"/>
      <c r="G285" s="512"/>
      <c r="H285" s="496"/>
      <c r="I285" s="432"/>
      <c r="J285" s="429"/>
    </row>
    <row r="286" ht="13.5" customHeight="1">
      <c r="A286" s="431"/>
      <c r="B286" s="497">
        <v>5200.0</v>
      </c>
      <c r="C286" s="689" t="s">
        <v>428</v>
      </c>
      <c r="D286" s="498"/>
      <c r="E286" s="744"/>
      <c r="F286" s="745"/>
      <c r="G286" s="692"/>
      <c r="H286" s="693">
        <f>SUM(H287:H293)</f>
        <v>6505</v>
      </c>
      <c r="I286" s="432"/>
      <c r="J286" s="429"/>
    </row>
    <row r="287" ht="13.5" customHeight="1">
      <c r="A287" s="431"/>
      <c r="B287" s="504">
        <v>5210.0</v>
      </c>
      <c r="C287" s="660" t="s">
        <v>429</v>
      </c>
      <c r="D287" s="505"/>
      <c r="E287" s="725"/>
      <c r="F287" s="556"/>
      <c r="G287" s="512"/>
      <c r="H287" s="496"/>
      <c r="I287" s="432"/>
      <c r="J287" s="429"/>
    </row>
    <row r="288" ht="13.5" customHeight="1">
      <c r="A288" s="431"/>
      <c r="B288" s="504"/>
      <c r="C288" s="671" t="s">
        <v>430</v>
      </c>
      <c r="D288" s="505">
        <f>SHOOTINTW_DAYS</f>
        <v>10</v>
      </c>
      <c r="E288" s="731" t="s">
        <v>239</v>
      </c>
      <c r="F288" s="547">
        <v>1.0</v>
      </c>
      <c r="G288" s="508">
        <v>400.0</v>
      </c>
      <c r="H288" s="496">
        <f t="shared" ref="H288:H293" si="27">D288*F288*G288</f>
        <v>4000</v>
      </c>
      <c r="I288" s="432"/>
      <c r="J288" s="429"/>
    </row>
    <row r="289" ht="13.5" customHeight="1">
      <c r="A289" s="431"/>
      <c r="B289" s="504"/>
      <c r="C289" s="6" t="s">
        <v>431</v>
      </c>
      <c r="D289" s="505">
        <f>SHOOTVIS_DAYS</f>
        <v>53</v>
      </c>
      <c r="E289" s="725" t="s">
        <v>239</v>
      </c>
      <c r="F289" s="547">
        <v>1.0</v>
      </c>
      <c r="G289" s="508">
        <v>35.0</v>
      </c>
      <c r="H289" s="496">
        <f t="shared" si="27"/>
        <v>1855</v>
      </c>
      <c r="I289" s="432"/>
      <c r="J289" s="429"/>
    </row>
    <row r="290" ht="13.5" customHeight="1">
      <c r="A290" s="431"/>
      <c r="B290" s="504">
        <v>5220.0</v>
      </c>
      <c r="C290" s="660" t="s">
        <v>432</v>
      </c>
      <c r="D290" s="505">
        <v>0.0</v>
      </c>
      <c r="E290" s="725" t="s">
        <v>233</v>
      </c>
      <c r="F290" s="547">
        <v>1.0</v>
      </c>
      <c r="G290" s="512"/>
      <c r="H290" s="496">
        <f t="shared" si="27"/>
        <v>0</v>
      </c>
      <c r="I290" s="432"/>
      <c r="J290" s="429"/>
    </row>
    <row r="291" ht="13.5" customHeight="1">
      <c r="A291" s="431"/>
      <c r="B291" s="504">
        <v>5230.0</v>
      </c>
      <c r="C291" s="671" t="s">
        <v>433</v>
      </c>
      <c r="D291" s="505">
        <v>1.0</v>
      </c>
      <c r="E291" s="725" t="s">
        <v>233</v>
      </c>
      <c r="F291" s="547">
        <v>1.0</v>
      </c>
      <c r="G291" s="508">
        <v>500.0</v>
      </c>
      <c r="H291" s="496">
        <f t="shared" si="27"/>
        <v>500</v>
      </c>
      <c r="I291" s="499"/>
      <c r="J291" s="500"/>
    </row>
    <row r="292" ht="13.5" customHeight="1">
      <c r="A292" s="431"/>
      <c r="B292" s="510">
        <v>5240.0</v>
      </c>
      <c r="C292" s="671" t="s">
        <v>434</v>
      </c>
      <c r="D292" s="505"/>
      <c r="E292" s="731" t="s">
        <v>239</v>
      </c>
      <c r="F292" s="547">
        <v>1.0</v>
      </c>
      <c r="G292" s="512"/>
      <c r="H292" s="496">
        <f t="shared" si="27"/>
        <v>0</v>
      </c>
      <c r="I292" s="499"/>
      <c r="J292" s="500"/>
    </row>
    <row r="293" ht="13.5" customHeight="1">
      <c r="A293" s="431"/>
      <c r="B293" s="504">
        <v>5290.0</v>
      </c>
      <c r="C293" s="660" t="s">
        <v>169</v>
      </c>
      <c r="D293" s="505">
        <v>1.0</v>
      </c>
      <c r="E293" s="725" t="s">
        <v>233</v>
      </c>
      <c r="F293" s="547">
        <v>1.0</v>
      </c>
      <c r="G293" s="512">
        <f>MISC</f>
        <v>150</v>
      </c>
      <c r="H293" s="496">
        <f t="shared" si="27"/>
        <v>150</v>
      </c>
      <c r="I293" s="499"/>
      <c r="J293" s="500"/>
    </row>
    <row r="294" ht="13.5" customHeight="1">
      <c r="A294" s="431"/>
      <c r="B294" s="504"/>
      <c r="C294" s="660"/>
      <c r="D294" s="505"/>
      <c r="E294" s="725"/>
      <c r="F294" s="556"/>
      <c r="G294" s="512"/>
      <c r="H294" s="496"/>
      <c r="I294" s="502"/>
      <c r="J294" s="548"/>
    </row>
    <row r="295" ht="12.75" customHeight="1">
      <c r="A295" s="431"/>
      <c r="B295" s="497">
        <v>5300.0</v>
      </c>
      <c r="C295" s="689" t="s">
        <v>435</v>
      </c>
      <c r="D295" s="505"/>
      <c r="E295" s="725"/>
      <c r="F295" s="556"/>
      <c r="G295" s="512"/>
      <c r="H295" s="693">
        <f>SUM(H296:H299)</f>
        <v>0</v>
      </c>
      <c r="I295" s="502"/>
      <c r="J295" s="548"/>
    </row>
    <row r="296" ht="13.5" customHeight="1">
      <c r="A296" s="431"/>
      <c r="B296" s="504">
        <v>5310.0</v>
      </c>
      <c r="C296" s="671" t="s">
        <v>436</v>
      </c>
      <c r="D296" s="505"/>
      <c r="E296" s="725" t="s">
        <v>239</v>
      </c>
      <c r="F296" s="547">
        <v>1.0</v>
      </c>
      <c r="G296" s="512">
        <v>0.0</v>
      </c>
      <c r="H296" s="496">
        <f t="shared" ref="H296:H299" si="28">D296*F296*G296</f>
        <v>0</v>
      </c>
      <c r="I296" s="502"/>
      <c r="J296" s="548"/>
    </row>
    <row r="297" ht="13.5" customHeight="1">
      <c r="A297" s="431"/>
      <c r="B297" s="504">
        <v>5320.0</v>
      </c>
      <c r="C297" s="671" t="s">
        <v>437</v>
      </c>
      <c r="D297" s="505"/>
      <c r="E297" s="725" t="s">
        <v>233</v>
      </c>
      <c r="F297" s="547">
        <v>1.0</v>
      </c>
      <c r="G297" s="512">
        <v>0.0</v>
      </c>
      <c r="H297" s="496">
        <f t="shared" si="28"/>
        <v>0</v>
      </c>
      <c r="I297" s="502"/>
      <c r="J297" s="548"/>
    </row>
    <row r="298" ht="13.5" customHeight="1">
      <c r="A298" s="520"/>
      <c r="B298" s="510">
        <v>5380.0</v>
      </c>
      <c r="C298" s="671" t="s">
        <v>438</v>
      </c>
      <c r="D298" s="509"/>
      <c r="E298" s="731" t="s">
        <v>233</v>
      </c>
      <c r="F298" s="547">
        <v>1.0</v>
      </c>
      <c r="G298" s="508">
        <v>1000.0</v>
      </c>
      <c r="H298" s="496">
        <f t="shared" si="28"/>
        <v>0</v>
      </c>
      <c r="I298" s="467"/>
      <c r="J298" s="548"/>
    </row>
    <row r="299" ht="13.5" customHeight="1">
      <c r="A299" s="520"/>
      <c r="B299" s="504">
        <v>5390.0</v>
      </c>
      <c r="C299" s="660" t="s">
        <v>169</v>
      </c>
      <c r="D299" s="505"/>
      <c r="E299" s="725" t="s">
        <v>233</v>
      </c>
      <c r="F299" s="547">
        <v>1.0</v>
      </c>
      <c r="G299" s="512">
        <f>MISC</f>
        <v>150</v>
      </c>
      <c r="H299" s="496">
        <f t="shared" si="28"/>
        <v>0</v>
      </c>
      <c r="I299" s="502"/>
      <c r="J299" s="548"/>
    </row>
    <row r="300" ht="13.5" customHeight="1">
      <c r="A300" s="431"/>
      <c r="B300" s="504"/>
      <c r="C300" s="660"/>
      <c r="D300" s="505"/>
      <c r="E300" s="725"/>
      <c r="F300" s="556"/>
      <c r="G300" s="512"/>
      <c r="H300" s="496"/>
      <c r="I300" s="502"/>
      <c r="J300" s="548"/>
    </row>
    <row r="301" ht="13.5" customHeight="1">
      <c r="A301" s="431"/>
      <c r="B301" s="497">
        <v>5400.0</v>
      </c>
      <c r="C301" s="689" t="s">
        <v>439</v>
      </c>
      <c r="D301" s="505"/>
      <c r="E301" s="725"/>
      <c r="F301" s="556"/>
      <c r="G301" s="512"/>
      <c r="H301" s="693">
        <f>SUM(H302:H305)</f>
        <v>0</v>
      </c>
      <c r="I301" s="502"/>
      <c r="J301" s="548"/>
    </row>
    <row r="302" ht="13.5" customHeight="1">
      <c r="A302" s="431"/>
      <c r="B302" s="504">
        <v>5410.0</v>
      </c>
      <c r="C302" s="671" t="s">
        <v>440</v>
      </c>
      <c r="D302" s="505"/>
      <c r="E302" s="725" t="s">
        <v>233</v>
      </c>
      <c r="F302" s="547">
        <v>1.0</v>
      </c>
      <c r="G302" s="512">
        <v>0.0</v>
      </c>
      <c r="H302" s="496">
        <f t="shared" ref="H302:H305" si="29">D302*F302*G302</f>
        <v>0</v>
      </c>
      <c r="I302" s="502"/>
      <c r="J302" s="548"/>
    </row>
    <row r="303" ht="13.5" customHeight="1">
      <c r="A303" s="431"/>
      <c r="B303" s="510">
        <v>5420.0</v>
      </c>
      <c r="C303" s="671" t="s">
        <v>441</v>
      </c>
      <c r="D303" s="505"/>
      <c r="E303" s="731" t="s">
        <v>233</v>
      </c>
      <c r="F303" s="547">
        <v>1.0</v>
      </c>
      <c r="G303" s="508">
        <v>0.0</v>
      </c>
      <c r="H303" s="496">
        <f t="shared" si="29"/>
        <v>0</v>
      </c>
      <c r="I303" s="502"/>
      <c r="J303" s="548"/>
    </row>
    <row r="304" ht="13.5" customHeight="1">
      <c r="A304" s="431"/>
      <c r="B304" s="510">
        <v>5430.0</v>
      </c>
      <c r="C304" s="671" t="s">
        <v>442</v>
      </c>
      <c r="D304" s="505"/>
      <c r="E304" s="731" t="s">
        <v>233</v>
      </c>
      <c r="F304" s="547">
        <v>1.0</v>
      </c>
      <c r="G304" s="508">
        <v>0.0</v>
      </c>
      <c r="H304" s="496">
        <f t="shared" si="29"/>
        <v>0</v>
      </c>
      <c r="I304" s="502"/>
      <c r="J304" s="548"/>
    </row>
    <row r="305" ht="13.5" customHeight="1">
      <c r="A305" s="431"/>
      <c r="B305" s="504">
        <v>5490.0</v>
      </c>
      <c r="C305" s="660" t="s">
        <v>169</v>
      </c>
      <c r="D305" s="505"/>
      <c r="E305" s="725" t="s">
        <v>233</v>
      </c>
      <c r="F305" s="547">
        <v>1.0</v>
      </c>
      <c r="G305" s="512">
        <f>MISC</f>
        <v>150</v>
      </c>
      <c r="H305" s="496">
        <f t="shared" si="29"/>
        <v>0</v>
      </c>
      <c r="I305" s="502"/>
      <c r="J305" s="548"/>
    </row>
    <row r="306" ht="13.5" customHeight="1">
      <c r="A306" s="431"/>
      <c r="B306" s="504"/>
      <c r="C306" s="660"/>
      <c r="D306" s="505"/>
      <c r="E306" s="725"/>
      <c r="F306" s="556"/>
      <c r="G306" s="512"/>
      <c r="H306" s="683"/>
      <c r="I306" s="502"/>
      <c r="J306" s="548"/>
    </row>
    <row r="307" ht="13.5" customHeight="1">
      <c r="A307" s="431"/>
      <c r="B307" s="497">
        <v>5500.0</v>
      </c>
      <c r="C307" s="689" t="s">
        <v>443</v>
      </c>
      <c r="D307" s="498"/>
      <c r="E307" s="744"/>
      <c r="F307" s="745"/>
      <c r="G307" s="692"/>
      <c r="H307" s="693">
        <f>SUM(H308:H311)</f>
        <v>0</v>
      </c>
      <c r="I307" s="502"/>
      <c r="J307" s="548"/>
    </row>
    <row r="308" ht="13.5" customHeight="1">
      <c r="A308" s="431"/>
      <c r="B308" s="504">
        <v>5510.0</v>
      </c>
      <c r="C308" s="671" t="s">
        <v>444</v>
      </c>
      <c r="D308" s="505"/>
      <c r="E308" s="725" t="s">
        <v>233</v>
      </c>
      <c r="F308" s="547">
        <v>1.0</v>
      </c>
      <c r="G308" s="512">
        <v>0.0</v>
      </c>
      <c r="H308" s="496">
        <f t="shared" ref="H308:H311" si="30">D308*F308*G308</f>
        <v>0</v>
      </c>
      <c r="I308" s="502"/>
      <c r="J308" s="548"/>
    </row>
    <row r="309" ht="13.5" customHeight="1">
      <c r="A309" s="431"/>
      <c r="B309" s="504">
        <v>5520.0</v>
      </c>
      <c r="C309" s="671" t="s">
        <v>445</v>
      </c>
      <c r="D309" s="505"/>
      <c r="E309" s="725" t="s">
        <v>233</v>
      </c>
      <c r="F309" s="547">
        <v>1.0</v>
      </c>
      <c r="G309" s="512">
        <v>0.0</v>
      </c>
      <c r="H309" s="496">
        <f t="shared" si="30"/>
        <v>0</v>
      </c>
      <c r="I309" s="502"/>
      <c r="J309" s="548"/>
    </row>
    <row r="310" ht="13.5" customHeight="1">
      <c r="A310" s="431"/>
      <c r="B310" s="510">
        <v>5530.0</v>
      </c>
      <c r="C310" s="671" t="s">
        <v>446</v>
      </c>
      <c r="D310" s="505"/>
      <c r="E310" s="731" t="s">
        <v>233</v>
      </c>
      <c r="F310" s="547">
        <v>1.0</v>
      </c>
      <c r="G310" s="508">
        <v>0.0</v>
      </c>
      <c r="H310" s="496">
        <f t="shared" si="30"/>
        <v>0</v>
      </c>
      <c r="I310" s="502"/>
      <c r="J310" s="548"/>
    </row>
    <row r="311" ht="13.5" customHeight="1">
      <c r="A311" s="431"/>
      <c r="B311" s="504">
        <v>5590.0</v>
      </c>
      <c r="C311" s="660" t="s">
        <v>169</v>
      </c>
      <c r="D311" s="505"/>
      <c r="E311" s="725" t="s">
        <v>233</v>
      </c>
      <c r="F311" s="547">
        <v>1.0</v>
      </c>
      <c r="G311" s="512">
        <f>MISC</f>
        <v>150</v>
      </c>
      <c r="H311" s="496">
        <f t="shared" si="30"/>
        <v>0</v>
      </c>
      <c r="I311" s="502"/>
      <c r="J311" s="548"/>
    </row>
    <row r="312" ht="13.5" customHeight="1">
      <c r="A312" s="431"/>
      <c r="B312" s="504"/>
      <c r="C312" s="660"/>
      <c r="D312" s="505"/>
      <c r="E312" s="725"/>
      <c r="F312" s="556"/>
      <c r="G312" s="512"/>
      <c r="H312" s="683"/>
      <c r="I312" s="502"/>
      <c r="J312" s="548"/>
    </row>
    <row r="313" ht="13.5" customHeight="1">
      <c r="A313" s="431"/>
      <c r="B313" s="522">
        <v>5600.0</v>
      </c>
      <c r="C313" s="751" t="s">
        <v>447</v>
      </c>
      <c r="D313" s="498"/>
      <c r="E313" s="744"/>
      <c r="F313" s="745"/>
      <c r="G313" s="692"/>
      <c r="H313" s="693">
        <f>SUM(H314:H317)</f>
        <v>1000</v>
      </c>
      <c r="I313" s="502"/>
      <c r="J313" s="548"/>
    </row>
    <row r="314" ht="13.5" customHeight="1">
      <c r="A314" s="431"/>
      <c r="B314" s="510">
        <v>5610.0</v>
      </c>
      <c r="C314" s="671" t="s">
        <v>448</v>
      </c>
      <c r="D314" s="505">
        <f>SHOOTINTW_DAYS</f>
        <v>10</v>
      </c>
      <c r="E314" s="731" t="s">
        <v>239</v>
      </c>
      <c r="F314" s="547">
        <v>1.0</v>
      </c>
      <c r="G314" s="508">
        <v>75.0</v>
      </c>
      <c r="H314" s="496">
        <f t="shared" ref="H314:H317" si="31">D314*F314*G314</f>
        <v>750</v>
      </c>
      <c r="I314" s="502"/>
      <c r="J314" s="548"/>
    </row>
    <row r="315" ht="13.5" customHeight="1">
      <c r="A315" s="431"/>
      <c r="B315" s="510">
        <v>5620.0</v>
      </c>
      <c r="C315" s="671" t="s">
        <v>449</v>
      </c>
      <c r="D315" s="509">
        <v>1.0</v>
      </c>
      <c r="E315" s="725" t="s">
        <v>233</v>
      </c>
      <c r="F315" s="547">
        <v>1.0</v>
      </c>
      <c r="G315" s="508">
        <v>100.0</v>
      </c>
      <c r="H315" s="496">
        <f t="shared" si="31"/>
        <v>100</v>
      </c>
      <c r="I315" s="502"/>
      <c r="J315" s="548"/>
    </row>
    <row r="316" ht="13.5" customHeight="1">
      <c r="A316" s="431"/>
      <c r="B316" s="510">
        <v>5630.0</v>
      </c>
      <c r="C316" s="671" t="s">
        <v>450</v>
      </c>
      <c r="D316" s="505"/>
      <c r="E316" s="731" t="s">
        <v>233</v>
      </c>
      <c r="F316" s="547">
        <v>1.0</v>
      </c>
      <c r="G316" s="508">
        <v>100.0</v>
      </c>
      <c r="H316" s="496">
        <f t="shared" si="31"/>
        <v>0</v>
      </c>
      <c r="I316" s="502"/>
      <c r="J316" s="548"/>
    </row>
    <row r="317" ht="13.5" customHeight="1">
      <c r="A317" s="431"/>
      <c r="B317" s="510">
        <v>5690.0</v>
      </c>
      <c r="C317" s="660" t="s">
        <v>169</v>
      </c>
      <c r="D317" s="509">
        <v>1.0</v>
      </c>
      <c r="E317" s="725" t="s">
        <v>233</v>
      </c>
      <c r="F317" s="547">
        <v>1.0</v>
      </c>
      <c r="G317" s="512">
        <f>MISC</f>
        <v>150</v>
      </c>
      <c r="H317" s="496">
        <f t="shared" si="31"/>
        <v>150</v>
      </c>
      <c r="I317" s="502"/>
      <c r="J317" s="548"/>
    </row>
    <row r="318" ht="13.5" customHeight="1">
      <c r="A318" s="431"/>
      <c r="B318" s="497"/>
      <c r="C318" s="689"/>
      <c r="D318" s="498"/>
      <c r="E318" s="744"/>
      <c r="F318" s="745"/>
      <c r="G318" s="692"/>
      <c r="H318" s="693"/>
      <c r="I318" s="502"/>
      <c r="J318" s="548"/>
    </row>
    <row r="319" ht="13.5" customHeight="1">
      <c r="A319" s="431"/>
      <c r="B319" s="522">
        <v>5700.0</v>
      </c>
      <c r="C319" s="689" t="s">
        <v>451</v>
      </c>
      <c r="D319" s="498"/>
      <c r="E319" s="744"/>
      <c r="F319" s="745"/>
      <c r="G319" s="692"/>
      <c r="H319" s="693">
        <f>SUM(H320:H326)</f>
        <v>8950</v>
      </c>
      <c r="I319" s="502"/>
      <c r="J319" s="548"/>
    </row>
    <row r="320">
      <c r="A320" s="431"/>
      <c r="B320" s="504"/>
      <c r="C320" s="727" t="s">
        <v>452</v>
      </c>
      <c r="D320" s="526"/>
      <c r="E320" s="526"/>
      <c r="F320" s="526"/>
      <c r="G320" s="526"/>
      <c r="H320" s="527"/>
      <c r="I320" s="502"/>
      <c r="J320" s="548"/>
    </row>
    <row r="321">
      <c r="A321" s="431"/>
      <c r="B321" s="510">
        <v>5710.0</v>
      </c>
      <c r="C321" s="671" t="s">
        <v>453</v>
      </c>
      <c r="D321" s="509">
        <v>6.0</v>
      </c>
      <c r="E321" s="731" t="s">
        <v>454</v>
      </c>
      <c r="F321" s="556">
        <v>2.0</v>
      </c>
      <c r="G321" s="508">
        <v>400.0</v>
      </c>
      <c r="H321" s="496">
        <f t="shared" ref="H321:H326" si="32">D321*F321*G321</f>
        <v>4800</v>
      </c>
      <c r="I321" s="502"/>
      <c r="J321" s="548"/>
    </row>
    <row r="322" ht="13.5" customHeight="1">
      <c r="A322" s="467"/>
      <c r="B322" s="510">
        <v>5720.0</v>
      </c>
      <c r="C322" s="529" t="s">
        <v>455</v>
      </c>
      <c r="D322" s="666">
        <v>1.0</v>
      </c>
      <c r="E322" s="534" t="s">
        <v>456</v>
      </c>
      <c r="F322" s="531">
        <v>1.0</v>
      </c>
      <c r="G322" s="508">
        <v>1900.0</v>
      </c>
      <c r="H322" s="496">
        <f t="shared" si="32"/>
        <v>1900</v>
      </c>
      <c r="I322" s="502"/>
      <c r="J322" s="548"/>
    </row>
    <row r="323" ht="13.5" customHeight="1">
      <c r="A323" s="431"/>
      <c r="B323" s="510">
        <v>5730.0</v>
      </c>
      <c r="C323" s="671" t="s">
        <v>457</v>
      </c>
      <c r="D323" s="674"/>
      <c r="E323" s="725"/>
      <c r="F323" s="556"/>
      <c r="G323" s="512"/>
      <c r="H323" s="496">
        <f t="shared" si="32"/>
        <v>0</v>
      </c>
      <c r="I323" s="502"/>
      <c r="J323" s="548"/>
    </row>
    <row r="324" ht="13.5" customHeight="1">
      <c r="A324" s="520" t="s">
        <v>458</v>
      </c>
      <c r="B324" s="504"/>
      <c r="C324" s="671" t="s">
        <v>459</v>
      </c>
      <c r="D324" s="752">
        <v>24.0</v>
      </c>
      <c r="E324" s="731" t="s">
        <v>460</v>
      </c>
      <c r="F324" s="547">
        <v>1.0</v>
      </c>
      <c r="G324" s="508">
        <v>40.0</v>
      </c>
      <c r="H324" s="496">
        <f t="shared" si="32"/>
        <v>960</v>
      </c>
      <c r="I324" s="502"/>
      <c r="J324" s="548"/>
    </row>
    <row r="325" ht="13.5" customHeight="1">
      <c r="A325" s="431"/>
      <c r="B325" s="504"/>
      <c r="C325" s="671" t="s">
        <v>461</v>
      </c>
      <c r="D325" s="752">
        <v>12.0</v>
      </c>
      <c r="E325" s="731" t="s">
        <v>462</v>
      </c>
      <c r="F325" s="547">
        <v>1.0</v>
      </c>
      <c r="G325" s="508">
        <v>95.0</v>
      </c>
      <c r="H325" s="496">
        <f t="shared" si="32"/>
        <v>1140</v>
      </c>
      <c r="I325" s="502"/>
      <c r="J325" s="548"/>
    </row>
    <row r="326" ht="13.5" customHeight="1">
      <c r="A326" s="431"/>
      <c r="B326" s="510">
        <v>5790.0</v>
      </c>
      <c r="C326" s="660" t="s">
        <v>169</v>
      </c>
      <c r="D326" s="674">
        <v>1.0</v>
      </c>
      <c r="E326" s="725" t="s">
        <v>233</v>
      </c>
      <c r="F326" s="547">
        <v>1.0</v>
      </c>
      <c r="G326" s="512">
        <f>MISC</f>
        <v>150</v>
      </c>
      <c r="H326" s="496">
        <f t="shared" si="32"/>
        <v>150</v>
      </c>
      <c r="I326" s="502"/>
      <c r="J326" s="548"/>
    </row>
    <row r="327" ht="13.5" customHeight="1">
      <c r="A327" s="431"/>
      <c r="B327" s="738"/>
      <c r="C327" s="739"/>
      <c r="D327" s="753"/>
      <c r="E327" s="741"/>
      <c r="F327" s="742"/>
      <c r="G327" s="532"/>
      <c r="H327" s="743"/>
      <c r="I327" s="502"/>
      <c r="J327" s="548"/>
    </row>
    <row r="328" ht="13.5" customHeight="1">
      <c r="A328" s="431"/>
      <c r="B328" s="497">
        <v>5800.0</v>
      </c>
      <c r="C328" s="751" t="s">
        <v>463</v>
      </c>
      <c r="D328" s="498"/>
      <c r="E328" s="744"/>
      <c r="F328" s="745"/>
      <c r="G328" s="692"/>
      <c r="H328" s="693">
        <f>SUM(H329:H340)</f>
        <v>9143</v>
      </c>
      <c r="I328" s="502"/>
      <c r="J328" s="548"/>
    </row>
    <row r="329" ht="13.5" customHeight="1">
      <c r="A329" s="431"/>
      <c r="B329" s="510">
        <v>5810.0</v>
      </c>
      <c r="C329" s="671" t="s">
        <v>464</v>
      </c>
      <c r="D329" s="505"/>
      <c r="E329" s="725"/>
      <c r="F329" s="556"/>
      <c r="G329" s="512"/>
      <c r="H329" s="496"/>
      <c r="I329" s="502"/>
      <c r="J329" s="548"/>
    </row>
    <row r="330" ht="13.5" customHeight="1">
      <c r="A330" s="431"/>
      <c r="B330" s="504"/>
      <c r="C330" s="671" t="s">
        <v>465</v>
      </c>
      <c r="D330" s="505">
        <f>SHOOTINTW_DAYS</f>
        <v>10</v>
      </c>
      <c r="E330" s="731" t="s">
        <v>466</v>
      </c>
      <c r="F330" s="547">
        <v>9.0</v>
      </c>
      <c r="G330" s="508">
        <v>17.0</v>
      </c>
      <c r="H330" s="496">
        <f t="shared" ref="H330:H340" si="33">D330*F330*G330</f>
        <v>1530</v>
      </c>
      <c r="I330" s="502"/>
      <c r="J330" s="548"/>
    </row>
    <row r="331" ht="13.5" customHeight="1">
      <c r="A331" s="431"/>
      <c r="B331" s="504"/>
      <c r="C331" s="671" t="s">
        <v>467</v>
      </c>
      <c r="D331" s="505">
        <f>SHOOTVIS_DAYS</f>
        <v>53</v>
      </c>
      <c r="E331" s="731" t="s">
        <v>466</v>
      </c>
      <c r="F331" s="547">
        <v>3.0</v>
      </c>
      <c r="G331" s="508">
        <v>17.0</v>
      </c>
      <c r="H331" s="496">
        <f t="shared" si="33"/>
        <v>2703</v>
      </c>
      <c r="I331" s="502"/>
      <c r="J331" s="548"/>
    </row>
    <row r="332" ht="13.5" customHeight="1">
      <c r="A332" s="431"/>
      <c r="B332" s="510"/>
      <c r="C332" s="671" t="s">
        <v>468</v>
      </c>
      <c r="D332" s="505"/>
      <c r="E332" s="731" t="s">
        <v>233</v>
      </c>
      <c r="F332" s="547">
        <v>1.0</v>
      </c>
      <c r="G332" s="508">
        <v>0.0</v>
      </c>
      <c r="H332" s="496">
        <f t="shared" si="33"/>
        <v>0</v>
      </c>
      <c r="I332" s="502"/>
      <c r="J332" s="548"/>
    </row>
    <row r="333" ht="13.5" customHeight="1">
      <c r="A333" s="431"/>
      <c r="B333" s="510">
        <v>5820.0</v>
      </c>
      <c r="C333" s="660" t="s">
        <v>469</v>
      </c>
      <c r="D333" s="505"/>
      <c r="E333" s="725"/>
      <c r="F333" s="547">
        <v>1.0</v>
      </c>
      <c r="G333" s="512"/>
      <c r="H333" s="496">
        <f t="shared" si="33"/>
        <v>0</v>
      </c>
      <c r="I333" s="502"/>
      <c r="J333" s="548"/>
    </row>
    <row r="334" ht="13.5" customHeight="1">
      <c r="A334" s="431"/>
      <c r="B334" s="504"/>
      <c r="C334" s="671" t="s">
        <v>465</v>
      </c>
      <c r="D334" s="505">
        <f>SHOOTINTW_DAYS</f>
        <v>10</v>
      </c>
      <c r="E334" s="731" t="s">
        <v>239</v>
      </c>
      <c r="F334" s="547">
        <v>1.0</v>
      </c>
      <c r="G334" s="508">
        <v>60.0</v>
      </c>
      <c r="H334" s="496">
        <f t="shared" si="33"/>
        <v>600</v>
      </c>
      <c r="I334" s="502"/>
      <c r="J334" s="548"/>
    </row>
    <row r="335" ht="13.5" customHeight="1">
      <c r="A335" s="431"/>
      <c r="B335" s="504"/>
      <c r="C335" s="671" t="s">
        <v>467</v>
      </c>
      <c r="D335" s="505">
        <f>SHOOTVIS_DAYS</f>
        <v>53</v>
      </c>
      <c r="E335" s="731" t="s">
        <v>239</v>
      </c>
      <c r="F335" s="547">
        <v>1.0</v>
      </c>
      <c r="G335" s="508">
        <v>20.0</v>
      </c>
      <c r="H335" s="496">
        <f t="shared" si="33"/>
        <v>1060</v>
      </c>
      <c r="I335" s="502"/>
      <c r="J335" s="548"/>
    </row>
    <row r="336" ht="12.75" customHeight="1">
      <c r="A336" s="431"/>
      <c r="B336" s="510">
        <v>5850.0</v>
      </c>
      <c r="C336" s="671" t="s">
        <v>470</v>
      </c>
      <c r="D336" s="509">
        <v>1.0</v>
      </c>
      <c r="E336" s="731" t="s">
        <v>233</v>
      </c>
      <c r="F336" s="547">
        <v>1.0</v>
      </c>
      <c r="G336" s="508">
        <v>100.0</v>
      </c>
      <c r="H336" s="496">
        <f t="shared" si="33"/>
        <v>100</v>
      </c>
      <c r="I336" s="502"/>
      <c r="J336" s="548"/>
    </row>
    <row r="337" ht="12.75" customHeight="1">
      <c r="A337" s="431"/>
      <c r="B337" s="510">
        <v>5860.0</v>
      </c>
      <c r="C337" s="671" t="s">
        <v>471</v>
      </c>
      <c r="D337" s="505">
        <v>1.0</v>
      </c>
      <c r="E337" s="725" t="s">
        <v>233</v>
      </c>
      <c r="F337" s="547">
        <v>1.0</v>
      </c>
      <c r="G337" s="512">
        <v>1000.0</v>
      </c>
      <c r="H337" s="496">
        <f t="shared" si="33"/>
        <v>1000</v>
      </c>
      <c r="I337" s="502"/>
      <c r="J337" s="548"/>
    </row>
    <row r="338">
      <c r="A338" s="664"/>
      <c r="B338" s="510">
        <v>5880.0</v>
      </c>
      <c r="C338" s="671" t="s">
        <v>472</v>
      </c>
      <c r="D338" s="509">
        <v>1.0</v>
      </c>
      <c r="E338" s="731" t="s">
        <v>233</v>
      </c>
      <c r="F338" s="547">
        <v>1.0</v>
      </c>
      <c r="G338" s="508">
        <v>1000.0</v>
      </c>
      <c r="H338" s="496">
        <f t="shared" si="33"/>
        <v>1000</v>
      </c>
      <c r="I338" s="467"/>
      <c r="J338" s="548"/>
    </row>
    <row r="339" ht="13.5" customHeight="1">
      <c r="B339" s="510">
        <v>5885.0</v>
      </c>
      <c r="C339" s="517" t="s">
        <v>473</v>
      </c>
      <c r="D339" s="675">
        <v>1.0</v>
      </c>
      <c r="E339" s="725" t="s">
        <v>233</v>
      </c>
      <c r="F339" s="547">
        <v>1.0</v>
      </c>
      <c r="G339" s="754">
        <v>1000.0</v>
      </c>
      <c r="H339" s="496">
        <f t="shared" si="33"/>
        <v>1000</v>
      </c>
      <c r="I339" s="502"/>
      <c r="J339" s="548"/>
    </row>
    <row r="340" ht="13.5" customHeight="1">
      <c r="A340" s="520"/>
      <c r="B340" s="504">
        <v>5890.0</v>
      </c>
      <c r="C340" s="505" t="s">
        <v>169</v>
      </c>
      <c r="D340" s="505">
        <v>1.0</v>
      </c>
      <c r="E340" s="506" t="s">
        <v>233</v>
      </c>
      <c r="F340" s="507">
        <v>1.0</v>
      </c>
      <c r="G340" s="512">
        <f>MISC</f>
        <v>150</v>
      </c>
      <c r="H340" s="496">
        <f t="shared" si="33"/>
        <v>150</v>
      </c>
      <c r="I340" s="502"/>
      <c r="J340" s="548"/>
    </row>
    <row r="341" ht="13.5" customHeight="1">
      <c r="A341" s="520"/>
      <c r="B341" s="755"/>
      <c r="C341" s="535"/>
      <c r="D341" s="535"/>
      <c r="E341" s="536"/>
      <c r="F341" s="756"/>
      <c r="G341" s="538"/>
      <c r="H341" s="707"/>
      <c r="I341" s="502"/>
      <c r="J341" s="548"/>
    </row>
    <row r="342" ht="13.5" customHeight="1">
      <c r="A342" s="431"/>
      <c r="B342" s="522">
        <v>5900.0</v>
      </c>
      <c r="C342" s="751" t="s">
        <v>474</v>
      </c>
      <c r="D342" s="498"/>
      <c r="E342" s="744"/>
      <c r="F342" s="745"/>
      <c r="G342" s="692"/>
      <c r="H342" s="693">
        <f>SUM(H343:H354)</f>
        <v>11505</v>
      </c>
      <c r="I342" s="502"/>
      <c r="J342" s="548"/>
    </row>
    <row r="343" ht="13.5" customHeight="1">
      <c r="A343" s="431"/>
      <c r="B343" s="510">
        <v>5910.0</v>
      </c>
      <c r="C343" s="671" t="s">
        <v>475</v>
      </c>
      <c r="D343" s="535"/>
      <c r="E343" s="536"/>
      <c r="F343" s="756"/>
      <c r="G343" s="538"/>
      <c r="H343" s="707"/>
      <c r="I343" s="502"/>
      <c r="J343" s="548"/>
    </row>
    <row r="344" ht="13.5" customHeight="1">
      <c r="A344" s="431"/>
      <c r="B344" s="510"/>
      <c r="C344" s="671" t="s">
        <v>476</v>
      </c>
      <c r="D344" s="509">
        <v>4.0</v>
      </c>
      <c r="E344" s="731" t="s">
        <v>196</v>
      </c>
      <c r="F344" s="547">
        <v>1.0</v>
      </c>
      <c r="G344" s="508">
        <v>1100.0</v>
      </c>
      <c r="H344" s="496">
        <f t="shared" ref="H344:H354" si="34">D344*F344*G344</f>
        <v>4400</v>
      </c>
      <c r="I344" s="502"/>
      <c r="J344" s="548"/>
    </row>
    <row r="345" ht="13.5" customHeight="1">
      <c r="A345" s="520"/>
      <c r="B345" s="757"/>
      <c r="C345" s="685" t="s">
        <v>477</v>
      </c>
      <c r="D345" s="622">
        <v>4.0</v>
      </c>
      <c r="E345" s="747" t="s">
        <v>196</v>
      </c>
      <c r="F345" s="748">
        <v>1.0</v>
      </c>
      <c r="G345" s="625">
        <v>950.0</v>
      </c>
      <c r="H345" s="687">
        <f t="shared" si="34"/>
        <v>3800</v>
      </c>
      <c r="I345" s="467"/>
      <c r="J345" s="548"/>
    </row>
    <row r="346" ht="13.5" customHeight="1">
      <c r="A346" s="431"/>
      <c r="B346" s="510"/>
      <c r="C346" s="671" t="s">
        <v>478</v>
      </c>
      <c r="D346" s="505"/>
      <c r="E346" s="731" t="s">
        <v>196</v>
      </c>
      <c r="F346" s="547">
        <v>1.0</v>
      </c>
      <c r="G346" s="508">
        <v>800.0</v>
      </c>
      <c r="H346" s="496">
        <f t="shared" si="34"/>
        <v>0</v>
      </c>
      <c r="I346" s="502"/>
      <c r="J346" s="548"/>
    </row>
    <row r="347" ht="13.5" customHeight="1">
      <c r="A347" s="520"/>
      <c r="B347" s="510"/>
      <c r="C347" s="671" t="s">
        <v>479</v>
      </c>
      <c r="D347" s="505"/>
      <c r="E347" s="731" t="s">
        <v>196</v>
      </c>
      <c r="F347" s="547">
        <v>1.0</v>
      </c>
      <c r="G347" s="508">
        <v>0.0</v>
      </c>
      <c r="H347" s="496">
        <f t="shared" si="34"/>
        <v>0</v>
      </c>
      <c r="I347" s="502"/>
      <c r="J347" s="548"/>
    </row>
    <row r="348" ht="13.5" customHeight="1">
      <c r="B348" s="510">
        <v>5920.0</v>
      </c>
      <c r="C348" s="671" t="s">
        <v>480</v>
      </c>
      <c r="D348" s="505"/>
      <c r="E348" s="725" t="s">
        <v>233</v>
      </c>
      <c r="F348" s="547">
        <v>1.0</v>
      </c>
      <c r="G348" s="512">
        <v>0.0</v>
      </c>
      <c r="H348" s="496">
        <f t="shared" si="34"/>
        <v>0</v>
      </c>
      <c r="I348" s="502"/>
      <c r="J348" s="548"/>
    </row>
    <row r="349" ht="13.5" customHeight="1">
      <c r="B349" s="510">
        <v>5930.0</v>
      </c>
      <c r="C349" s="671" t="s">
        <v>481</v>
      </c>
      <c r="D349" s="509">
        <v>4.0</v>
      </c>
      <c r="E349" s="731" t="s">
        <v>196</v>
      </c>
      <c r="F349" s="547">
        <v>1.0</v>
      </c>
      <c r="G349" s="508">
        <v>300.0</v>
      </c>
      <c r="H349" s="496">
        <f t="shared" si="34"/>
        <v>1200</v>
      </c>
      <c r="I349" s="502"/>
      <c r="J349" s="548"/>
    </row>
    <row r="350" ht="13.5" customHeight="1">
      <c r="A350" s="431"/>
      <c r="B350" s="510">
        <v>5940.0</v>
      </c>
      <c r="C350" s="671" t="s">
        <v>482</v>
      </c>
      <c r="D350" s="509">
        <v>4.0</v>
      </c>
      <c r="E350" s="731" t="s">
        <v>196</v>
      </c>
      <c r="F350" s="547">
        <v>1.0</v>
      </c>
      <c r="G350" s="508">
        <v>150.0</v>
      </c>
      <c r="H350" s="496">
        <f t="shared" si="34"/>
        <v>600</v>
      </c>
      <c r="I350" s="453"/>
      <c r="J350" s="502"/>
    </row>
    <row r="351" ht="13.5" customHeight="1">
      <c r="A351" s="431"/>
      <c r="B351" s="510">
        <v>5950.0</v>
      </c>
      <c r="C351" s="671" t="s">
        <v>483</v>
      </c>
      <c r="D351" s="505"/>
      <c r="E351" s="731" t="s">
        <v>239</v>
      </c>
      <c r="F351" s="547">
        <v>1.0</v>
      </c>
      <c r="G351" s="512"/>
      <c r="H351" s="496">
        <f t="shared" si="34"/>
        <v>0</v>
      </c>
      <c r="I351" s="453"/>
      <c r="J351" s="502"/>
    </row>
    <row r="352" ht="13.5" customHeight="1">
      <c r="A352" s="431"/>
      <c r="B352" s="510">
        <v>5960.0</v>
      </c>
      <c r="C352" s="671" t="s">
        <v>484</v>
      </c>
      <c r="D352" s="509">
        <v>1500.0</v>
      </c>
      <c r="E352" s="725" t="s">
        <v>485</v>
      </c>
      <c r="F352" s="547">
        <v>1.0</v>
      </c>
      <c r="G352" s="758">
        <v>0.67</v>
      </c>
      <c r="H352" s="496">
        <f t="shared" si="34"/>
        <v>1005</v>
      </c>
      <c r="I352" s="502"/>
      <c r="J352" s="548"/>
    </row>
    <row r="353">
      <c r="A353" s="664"/>
      <c r="B353" s="510">
        <v>5980.0</v>
      </c>
      <c r="C353" s="671" t="s">
        <v>486</v>
      </c>
      <c r="D353" s="509">
        <v>1.0</v>
      </c>
      <c r="E353" s="731" t="s">
        <v>233</v>
      </c>
      <c r="F353" s="547">
        <v>1.0</v>
      </c>
      <c r="G353" s="508">
        <v>500.0</v>
      </c>
      <c r="H353" s="496">
        <f t="shared" si="34"/>
        <v>500</v>
      </c>
      <c r="I353" s="467"/>
      <c r="J353" s="548"/>
    </row>
    <row r="354" ht="13.5" customHeight="1">
      <c r="A354" s="431"/>
      <c r="B354" s="510">
        <v>5990.0</v>
      </c>
      <c r="C354" s="660" t="s">
        <v>169</v>
      </c>
      <c r="D354" s="505"/>
      <c r="E354" s="725" t="s">
        <v>233</v>
      </c>
      <c r="F354" s="547">
        <v>1.0</v>
      </c>
      <c r="G354" s="512">
        <f>MISC</f>
        <v>150</v>
      </c>
      <c r="H354" s="496">
        <f t="shared" si="34"/>
        <v>0</v>
      </c>
      <c r="I354" s="502"/>
      <c r="J354" s="548"/>
    </row>
    <row r="355" ht="13.5" customHeight="1">
      <c r="A355" s="431"/>
      <c r="B355" s="567"/>
      <c r="C355" s="568"/>
      <c r="D355" s="569"/>
      <c r="E355" s="570"/>
      <c r="F355" s="569"/>
      <c r="G355" s="571"/>
      <c r="H355" s="572"/>
      <c r="I355" s="502"/>
      <c r="J355" s="548"/>
    </row>
    <row r="356" ht="13.5" customHeight="1">
      <c r="A356" s="431"/>
      <c r="B356" s="573"/>
      <c r="C356" s="715" t="s">
        <v>296</v>
      </c>
      <c r="D356" s="759"/>
      <c r="E356" s="717"/>
      <c r="F356" s="716"/>
      <c r="G356" s="578"/>
      <c r="H356" s="579">
        <f>SUM(H240:H354)/2</f>
        <v>69776</v>
      </c>
      <c r="I356" s="502"/>
      <c r="J356" s="548"/>
    </row>
    <row r="357" ht="13.5" customHeight="1">
      <c r="A357" s="431"/>
      <c r="B357" s="580"/>
      <c r="C357" s="634"/>
      <c r="D357" s="760"/>
      <c r="E357" s="582"/>
      <c r="F357" s="443"/>
      <c r="G357" s="583"/>
      <c r="H357" s="586"/>
      <c r="I357" s="502"/>
      <c r="J357" s="548"/>
    </row>
    <row r="358" ht="13.5" customHeight="1">
      <c r="A358" s="467"/>
      <c r="B358" s="580"/>
      <c r="C358" s="634"/>
      <c r="D358" s="443"/>
      <c r="E358" s="582"/>
      <c r="F358" s="443"/>
      <c r="G358" s="583"/>
      <c r="H358" s="586"/>
      <c r="I358" s="502"/>
      <c r="J358" s="548"/>
    </row>
    <row r="359" ht="13.5" customHeight="1">
      <c r="A359" s="467"/>
      <c r="B359" s="645"/>
      <c r="C359" s="761" t="s">
        <v>487</v>
      </c>
      <c r="D359" s="613" t="s">
        <v>186</v>
      </c>
      <c r="E359" s="614" t="s">
        <v>187</v>
      </c>
      <c r="F359" s="613" t="s">
        <v>188</v>
      </c>
      <c r="G359" s="423" t="s">
        <v>189</v>
      </c>
      <c r="H359" s="424" t="s">
        <v>190</v>
      </c>
      <c r="I359" s="502"/>
      <c r="J359" s="548"/>
    </row>
    <row r="360" ht="13.5" customHeight="1">
      <c r="A360" s="431"/>
      <c r="B360" s="580"/>
      <c r="C360" s="762"/>
      <c r="D360" s="763"/>
      <c r="E360" s="617"/>
      <c r="F360" s="616"/>
      <c r="G360" s="618"/>
      <c r="H360" s="764"/>
      <c r="I360" s="502"/>
      <c r="J360" s="548"/>
    </row>
    <row r="361" ht="13.5" customHeight="1">
      <c r="A361" s="431"/>
      <c r="B361" s="597">
        <v>6000.0</v>
      </c>
      <c r="C361" s="765" t="s">
        <v>488</v>
      </c>
      <c r="D361" s="766"/>
      <c r="E361" s="744"/>
      <c r="F361" s="745"/>
      <c r="G361" s="767"/>
      <c r="H361" s="601">
        <f>SUM(H362:H378)</f>
        <v>7560</v>
      </c>
      <c r="I361" s="502"/>
      <c r="J361" s="548"/>
    </row>
    <row r="362" ht="13.5" customHeight="1">
      <c r="A362" s="431"/>
      <c r="B362" s="497"/>
      <c r="C362" s="514" t="s">
        <v>489</v>
      </c>
      <c r="D362" s="505"/>
      <c r="E362" s="506"/>
      <c r="F362" s="513"/>
      <c r="G362" s="512"/>
      <c r="H362" s="515"/>
      <c r="I362" s="502"/>
      <c r="J362" s="548"/>
    </row>
    <row r="363" ht="12.75" customHeight="1">
      <c r="A363" s="431"/>
      <c r="B363" s="510">
        <v>6010.0</v>
      </c>
      <c r="C363" s="516" t="s">
        <v>243</v>
      </c>
      <c r="D363" s="505">
        <v>3.0</v>
      </c>
      <c r="E363" s="506" t="s">
        <v>244</v>
      </c>
      <c r="F363" s="507">
        <v>1.0</v>
      </c>
      <c r="G363" s="508">
        <v>340.0</v>
      </c>
      <c r="H363" s="496">
        <f t="shared" ref="H363:H369" si="35">D363*F363*G363</f>
        <v>1020</v>
      </c>
      <c r="I363" s="502"/>
      <c r="J363" s="548"/>
    </row>
    <row r="364" ht="13.5" customHeight="1">
      <c r="A364" s="431"/>
      <c r="B364" s="510">
        <v>6020.0</v>
      </c>
      <c r="C364" s="517" t="s">
        <v>490</v>
      </c>
      <c r="D364" s="509">
        <v>2.0</v>
      </c>
      <c r="E364" s="506" t="s">
        <v>246</v>
      </c>
      <c r="F364" s="507">
        <v>1.0</v>
      </c>
      <c r="G364" s="512">
        <v>50.0</v>
      </c>
      <c r="H364" s="496">
        <f t="shared" si="35"/>
        <v>100</v>
      </c>
      <c r="I364" s="502"/>
      <c r="J364" s="548"/>
    </row>
    <row r="365" ht="13.5" customHeight="1">
      <c r="A365" s="431"/>
      <c r="B365" s="510">
        <v>6030.0</v>
      </c>
      <c r="C365" s="516" t="s">
        <v>247</v>
      </c>
      <c r="D365" s="509">
        <v>2.0</v>
      </c>
      <c r="E365" s="506" t="s">
        <v>248</v>
      </c>
      <c r="F365" s="513">
        <v>3.0</v>
      </c>
      <c r="G365" s="508">
        <v>300.0</v>
      </c>
      <c r="H365" s="496">
        <f t="shared" si="35"/>
        <v>1800</v>
      </c>
      <c r="I365" s="502"/>
      <c r="J365" s="548"/>
    </row>
    <row r="366" ht="13.5" customHeight="1">
      <c r="A366" s="431"/>
      <c r="B366" s="510">
        <v>6040.0</v>
      </c>
      <c r="C366" s="516" t="s">
        <v>249</v>
      </c>
      <c r="D366" s="509">
        <v>2.0</v>
      </c>
      <c r="E366" s="506" t="s">
        <v>239</v>
      </c>
      <c r="F366" s="507">
        <v>1.0</v>
      </c>
      <c r="G366" s="512">
        <v>100.0</v>
      </c>
      <c r="H366" s="496">
        <f t="shared" si="35"/>
        <v>200</v>
      </c>
      <c r="I366" s="502"/>
      <c r="J366" s="548"/>
    </row>
    <row r="367" ht="13.5" customHeight="1">
      <c r="A367" s="431"/>
      <c r="B367" s="510">
        <v>6050.0</v>
      </c>
      <c r="C367" s="517" t="s">
        <v>250</v>
      </c>
      <c r="D367" s="509">
        <v>2.0</v>
      </c>
      <c r="E367" s="506" t="s">
        <v>239</v>
      </c>
      <c r="F367" s="513">
        <v>3.0</v>
      </c>
      <c r="G367" s="508">
        <v>70.0</v>
      </c>
      <c r="H367" s="496">
        <f t="shared" si="35"/>
        <v>420</v>
      </c>
      <c r="I367" s="502"/>
      <c r="J367" s="548"/>
    </row>
    <row r="368" ht="13.5" customHeight="1">
      <c r="A368" s="664"/>
      <c r="B368" s="518">
        <v>6080.0</v>
      </c>
      <c r="C368" s="516" t="s">
        <v>491</v>
      </c>
      <c r="D368" s="505"/>
      <c r="E368" s="511" t="s">
        <v>233</v>
      </c>
      <c r="F368" s="507">
        <v>1.0</v>
      </c>
      <c r="G368" s="508">
        <v>500.0</v>
      </c>
      <c r="H368" s="496">
        <f t="shared" si="35"/>
        <v>0</v>
      </c>
      <c r="I368" s="552"/>
      <c r="J368" s="429"/>
    </row>
    <row r="369" ht="13.5" customHeight="1">
      <c r="A369" s="431"/>
      <c r="B369" s="521">
        <v>6090.0</v>
      </c>
      <c r="C369" s="517" t="s">
        <v>492</v>
      </c>
      <c r="D369" s="505">
        <v>1.0</v>
      </c>
      <c r="E369" s="506" t="s">
        <v>233</v>
      </c>
      <c r="F369" s="507">
        <v>1.0</v>
      </c>
      <c r="G369" s="512">
        <f>MISC</f>
        <v>150</v>
      </c>
      <c r="H369" s="496">
        <f t="shared" si="35"/>
        <v>150</v>
      </c>
      <c r="I369" s="502"/>
      <c r="J369" s="548"/>
    </row>
    <row r="370" ht="12.75" customHeight="1">
      <c r="A370" s="431"/>
      <c r="B370" s="504"/>
      <c r="C370" s="505"/>
      <c r="D370" s="505"/>
      <c r="E370" s="506"/>
      <c r="F370" s="513"/>
      <c r="G370" s="512"/>
      <c r="H370" s="496"/>
      <c r="I370" s="502"/>
      <c r="J370" s="548"/>
    </row>
    <row r="371" ht="12.75" customHeight="1">
      <c r="A371" s="431"/>
      <c r="B371" s="497"/>
      <c r="C371" s="514" t="s">
        <v>493</v>
      </c>
      <c r="D371" s="505"/>
      <c r="E371" s="506"/>
      <c r="F371" s="513"/>
      <c r="G371" s="512"/>
      <c r="H371" s="515"/>
      <c r="I371" s="502"/>
      <c r="J371" s="548"/>
    </row>
    <row r="372" ht="12.75" customHeight="1">
      <c r="A372" s="431"/>
      <c r="B372" s="510">
        <v>6010.0</v>
      </c>
      <c r="C372" s="516" t="s">
        <v>243</v>
      </c>
      <c r="D372" s="505">
        <v>3.0</v>
      </c>
      <c r="E372" s="506" t="s">
        <v>244</v>
      </c>
      <c r="F372" s="507">
        <v>1.0</v>
      </c>
      <c r="G372" s="512">
        <v>400.0</v>
      </c>
      <c r="H372" s="496">
        <f t="shared" ref="H372:H378" si="36">D372*F372*G372</f>
        <v>1200</v>
      </c>
      <c r="I372" s="502"/>
      <c r="J372" s="548"/>
    </row>
    <row r="373" ht="13.5" customHeight="1">
      <c r="A373" s="431"/>
      <c r="B373" s="510">
        <v>6020.0</v>
      </c>
      <c r="C373" s="517" t="s">
        <v>490</v>
      </c>
      <c r="D373" s="509">
        <v>2.0</v>
      </c>
      <c r="E373" s="506" t="s">
        <v>246</v>
      </c>
      <c r="F373" s="507">
        <v>1.0</v>
      </c>
      <c r="G373" s="512">
        <v>50.0</v>
      </c>
      <c r="H373" s="496">
        <f t="shared" si="36"/>
        <v>100</v>
      </c>
      <c r="I373" s="502"/>
      <c r="J373" s="548"/>
    </row>
    <row r="374" ht="13.5" customHeight="1">
      <c r="A374" s="431"/>
      <c r="B374" s="510">
        <v>6030.0</v>
      </c>
      <c r="C374" s="516" t="s">
        <v>247</v>
      </c>
      <c r="D374" s="509">
        <v>2.0</v>
      </c>
      <c r="E374" s="506" t="s">
        <v>248</v>
      </c>
      <c r="F374" s="513">
        <v>3.0</v>
      </c>
      <c r="G374" s="508">
        <v>300.0</v>
      </c>
      <c r="H374" s="496">
        <f t="shared" si="36"/>
        <v>1800</v>
      </c>
      <c r="I374" s="502"/>
      <c r="J374" s="548"/>
    </row>
    <row r="375" ht="13.5" customHeight="1">
      <c r="A375" s="467"/>
      <c r="B375" s="510">
        <v>6040.0</v>
      </c>
      <c r="C375" s="516" t="s">
        <v>249</v>
      </c>
      <c r="D375" s="509">
        <v>2.0</v>
      </c>
      <c r="E375" s="506" t="s">
        <v>239</v>
      </c>
      <c r="F375" s="507">
        <v>1.0</v>
      </c>
      <c r="G375" s="512">
        <v>100.0</v>
      </c>
      <c r="H375" s="496">
        <f t="shared" si="36"/>
        <v>200</v>
      </c>
      <c r="I375" s="502"/>
      <c r="J375" s="548"/>
    </row>
    <row r="376" ht="13.5" customHeight="1">
      <c r="A376" s="431"/>
      <c r="B376" s="510">
        <v>6050.0</v>
      </c>
      <c r="C376" s="517" t="s">
        <v>250</v>
      </c>
      <c r="D376" s="509">
        <v>2.0</v>
      </c>
      <c r="E376" s="506" t="s">
        <v>239</v>
      </c>
      <c r="F376" s="513">
        <v>3.0</v>
      </c>
      <c r="G376" s="508">
        <v>70.0</v>
      </c>
      <c r="H376" s="496">
        <f t="shared" si="36"/>
        <v>420</v>
      </c>
      <c r="I376" s="502"/>
      <c r="J376" s="548"/>
    </row>
    <row r="377" ht="13.5" customHeight="1">
      <c r="A377" s="664"/>
      <c r="B377" s="518">
        <v>6080.0</v>
      </c>
      <c r="C377" s="516" t="s">
        <v>494</v>
      </c>
      <c r="D377" s="505"/>
      <c r="E377" s="511" t="s">
        <v>233</v>
      </c>
      <c r="F377" s="507">
        <v>1.0</v>
      </c>
      <c r="G377" s="508">
        <v>500.0</v>
      </c>
      <c r="H377" s="496">
        <f t="shared" si="36"/>
        <v>0</v>
      </c>
      <c r="I377" s="552"/>
      <c r="J377" s="429"/>
    </row>
    <row r="378" ht="13.5" customHeight="1">
      <c r="A378" s="431"/>
      <c r="B378" s="521">
        <v>6090.0</v>
      </c>
      <c r="C378" s="517" t="s">
        <v>492</v>
      </c>
      <c r="D378" s="505">
        <v>1.0</v>
      </c>
      <c r="E378" s="506" t="s">
        <v>233</v>
      </c>
      <c r="F378" s="507">
        <v>1.0</v>
      </c>
      <c r="G378" s="512">
        <f>MISC</f>
        <v>150</v>
      </c>
      <c r="H378" s="496">
        <f t="shared" si="36"/>
        <v>150</v>
      </c>
      <c r="I378" s="502"/>
      <c r="J378" s="548"/>
    </row>
    <row r="379" ht="13.5" customHeight="1">
      <c r="A379" s="431"/>
      <c r="B379" s="567"/>
      <c r="C379" s="568"/>
      <c r="D379" s="569"/>
      <c r="E379" s="570"/>
      <c r="F379" s="569"/>
      <c r="G379" s="571"/>
      <c r="H379" s="572"/>
      <c r="I379" s="502"/>
      <c r="J379" s="548"/>
    </row>
    <row r="380" ht="13.5" customHeight="1">
      <c r="A380" s="431"/>
      <c r="B380" s="573"/>
      <c r="C380" s="768" t="s">
        <v>296</v>
      </c>
      <c r="D380" s="769"/>
      <c r="E380" s="576"/>
      <c r="F380" s="577"/>
      <c r="G380" s="770"/>
      <c r="H380" s="771">
        <f>SUM(H359:H378)/2</f>
        <v>7560</v>
      </c>
      <c r="I380" s="502"/>
      <c r="J380" s="548"/>
    </row>
    <row r="381" ht="13.5" customHeight="1">
      <c r="A381" s="431"/>
      <c r="B381" s="580"/>
      <c r="C381" s="772"/>
      <c r="D381" s="760"/>
      <c r="E381" s="582"/>
      <c r="F381" s="443"/>
      <c r="G381" s="583"/>
      <c r="H381" s="773"/>
      <c r="I381" s="502"/>
      <c r="J381" s="548"/>
    </row>
    <row r="382" ht="13.5" customHeight="1">
      <c r="A382" s="431"/>
      <c r="B382" s="580"/>
      <c r="C382" s="774" t="s">
        <v>1</v>
      </c>
      <c r="D382" s="775"/>
      <c r="E382" s="776"/>
      <c r="F382" s="777"/>
      <c r="G382" s="778"/>
      <c r="H382" s="779"/>
      <c r="I382" s="502"/>
      <c r="J382" s="548"/>
    </row>
    <row r="383" ht="13.5" customHeight="1">
      <c r="A383" s="431"/>
      <c r="B383" s="645"/>
      <c r="C383" s="646" t="s">
        <v>495</v>
      </c>
      <c r="D383" s="613" t="s">
        <v>186</v>
      </c>
      <c r="E383" s="614" t="s">
        <v>187</v>
      </c>
      <c r="F383" s="613" t="s">
        <v>188</v>
      </c>
      <c r="G383" s="423" t="s">
        <v>189</v>
      </c>
      <c r="H383" s="424" t="s">
        <v>190</v>
      </c>
      <c r="I383" s="502"/>
      <c r="J383" s="548"/>
    </row>
    <row r="384" ht="13.5" customHeight="1">
      <c r="A384" s="431"/>
      <c r="B384" s="580"/>
      <c r="C384" s="762"/>
      <c r="D384" s="763"/>
      <c r="E384" s="617"/>
      <c r="F384" s="616"/>
      <c r="G384" s="618"/>
      <c r="H384" s="764"/>
      <c r="I384" s="502"/>
      <c r="J384" s="548"/>
    </row>
    <row r="385" ht="13.5" customHeight="1">
      <c r="A385" s="431"/>
      <c r="B385" s="597">
        <v>7000.0</v>
      </c>
      <c r="C385" s="780" t="s">
        <v>496</v>
      </c>
      <c r="D385" s="484" t="s">
        <v>1</v>
      </c>
      <c r="E385" s="599" t="s">
        <v>1</v>
      </c>
      <c r="F385" s="600"/>
      <c r="G385" s="724" t="s">
        <v>1</v>
      </c>
      <c r="H385" s="601">
        <f>SUM(H386:H417)</f>
        <v>33850.48845</v>
      </c>
      <c r="I385" s="502"/>
      <c r="J385" s="548"/>
    </row>
    <row r="386" ht="12.75" customHeight="1">
      <c r="A386" s="781"/>
      <c r="B386" s="504">
        <v>7010.0</v>
      </c>
      <c r="C386" s="509" t="s">
        <v>497</v>
      </c>
      <c r="D386" s="75"/>
      <c r="E386" s="75"/>
      <c r="F386" s="782"/>
      <c r="G386" s="783"/>
      <c r="H386" s="496"/>
      <c r="I386" s="502"/>
      <c r="J386" s="548"/>
    </row>
    <row r="387">
      <c r="A387" s="781"/>
      <c r="B387" s="784"/>
      <c r="C387" s="785"/>
      <c r="D387" s="509"/>
      <c r="E387" s="511"/>
      <c r="F387" s="786"/>
      <c r="G387" s="508"/>
      <c r="H387" s="496"/>
      <c r="I387" s="787"/>
      <c r="J387" s="788"/>
    </row>
    <row r="388">
      <c r="A388" s="781"/>
      <c r="B388" s="784"/>
      <c r="C388" s="785" t="s">
        <v>498</v>
      </c>
      <c r="D388" s="509">
        <v>1.0</v>
      </c>
      <c r="E388" s="511" t="s">
        <v>233</v>
      </c>
      <c r="F388" s="786">
        <v>0.75</v>
      </c>
      <c r="G388" s="508">
        <v>10697.0</v>
      </c>
      <c r="H388" s="496">
        <f>D388*F388*G388</f>
        <v>8022.75</v>
      </c>
      <c r="I388" s="787"/>
      <c r="J388" s="788"/>
    </row>
    <row r="389">
      <c r="A389" s="431"/>
      <c r="B389" s="784"/>
      <c r="C389" s="789"/>
      <c r="D389" s="505"/>
      <c r="E389" s="506"/>
      <c r="F389" s="790"/>
      <c r="G389" s="508"/>
      <c r="H389" s="496"/>
      <c r="I389" s="787"/>
      <c r="J389" s="548"/>
    </row>
    <row r="390">
      <c r="A390" s="431"/>
      <c r="B390" s="784"/>
      <c r="C390" s="785" t="s">
        <v>499</v>
      </c>
      <c r="D390" s="509">
        <v>1.0</v>
      </c>
      <c r="E390" s="511" t="s">
        <v>233</v>
      </c>
      <c r="F390" s="786">
        <v>0.75</v>
      </c>
      <c r="G390" s="508">
        <v>8697.0</v>
      </c>
      <c r="H390" s="496">
        <f>D390*F390*G390</f>
        <v>6522.75</v>
      </c>
      <c r="I390" s="787"/>
      <c r="J390" s="788"/>
    </row>
    <row r="391" ht="13.5" customHeight="1">
      <c r="A391" s="431"/>
      <c r="B391" s="510"/>
      <c r="C391" s="509"/>
      <c r="D391" s="505"/>
      <c r="E391" s="506"/>
      <c r="F391" s="513"/>
      <c r="G391" s="508"/>
      <c r="H391" s="496"/>
      <c r="I391" s="502"/>
      <c r="J391" s="548"/>
    </row>
    <row r="392" ht="13.5" customHeight="1">
      <c r="A392" s="431"/>
      <c r="B392" s="510">
        <v>7020.0</v>
      </c>
      <c r="C392" s="509" t="s">
        <v>500</v>
      </c>
      <c r="D392" s="505"/>
      <c r="E392" s="506"/>
      <c r="F392" s="507"/>
      <c r="G392" s="508"/>
      <c r="H392" s="496"/>
      <c r="I392" s="502"/>
      <c r="J392" s="548"/>
    </row>
    <row r="393" ht="13.5" customHeight="1">
      <c r="A393" s="431"/>
      <c r="B393" s="510"/>
      <c r="C393" s="509" t="s">
        <v>501</v>
      </c>
      <c r="D393" s="509">
        <v>1.0</v>
      </c>
      <c r="E393" s="511" t="s">
        <v>415</v>
      </c>
      <c r="F393" s="507">
        <v>1.0</v>
      </c>
      <c r="G393" s="508">
        <v>540.0</v>
      </c>
      <c r="H393" s="496">
        <f t="shared" ref="H393:H395" si="37">D393*F393*G393</f>
        <v>540</v>
      </c>
      <c r="I393" s="502"/>
      <c r="J393" s="548"/>
    </row>
    <row r="394" ht="13.5" customHeight="1">
      <c r="A394" s="431"/>
      <c r="B394" s="510"/>
      <c r="C394" s="509" t="s">
        <v>502</v>
      </c>
      <c r="D394" s="509">
        <v>2.0</v>
      </c>
      <c r="E394" s="511" t="s">
        <v>503</v>
      </c>
      <c r="F394" s="507">
        <v>1.0</v>
      </c>
      <c r="G394" s="508">
        <v>540.0</v>
      </c>
      <c r="H394" s="496">
        <f t="shared" si="37"/>
        <v>1080</v>
      </c>
      <c r="I394" s="502"/>
      <c r="J394" s="548"/>
    </row>
    <row r="395" ht="13.5" customHeight="1">
      <c r="A395" s="431"/>
      <c r="B395" s="510"/>
      <c r="C395" s="509" t="s">
        <v>504</v>
      </c>
      <c r="D395" s="509">
        <v>1.0</v>
      </c>
      <c r="E395" s="511" t="s">
        <v>233</v>
      </c>
      <c r="F395" s="507">
        <v>1.0</v>
      </c>
      <c r="G395" s="508">
        <v>500.0</v>
      </c>
      <c r="H395" s="496">
        <f t="shared" si="37"/>
        <v>500</v>
      </c>
      <c r="I395" s="502"/>
      <c r="J395" s="548"/>
    </row>
    <row r="396" ht="13.5" customHeight="1">
      <c r="A396" s="431"/>
      <c r="B396" s="510">
        <v>7025.0</v>
      </c>
      <c r="C396" s="509" t="s">
        <v>505</v>
      </c>
      <c r="D396" s="505"/>
      <c r="E396" s="506"/>
      <c r="F396" s="507"/>
      <c r="G396" s="508"/>
      <c r="H396" s="496"/>
      <c r="I396" s="502"/>
      <c r="J396" s="548"/>
    </row>
    <row r="397" ht="13.5" customHeight="1">
      <c r="A397" s="431"/>
      <c r="B397" s="510"/>
      <c r="C397" s="509" t="s">
        <v>506</v>
      </c>
      <c r="D397" s="505">
        <v>1.0</v>
      </c>
      <c r="E397" s="506" t="s">
        <v>233</v>
      </c>
      <c r="F397" s="507">
        <v>1.0</v>
      </c>
      <c r="G397" s="508">
        <v>3300.0</v>
      </c>
      <c r="H397" s="496">
        <f t="shared" ref="H397:H417" si="38">D397*F397*G397</f>
        <v>3300</v>
      </c>
      <c r="I397" s="502"/>
      <c r="J397" s="548"/>
    </row>
    <row r="398" ht="13.5" customHeight="1">
      <c r="A398" s="431"/>
      <c r="B398" s="510"/>
      <c r="C398" s="509" t="s">
        <v>507</v>
      </c>
      <c r="D398" s="505">
        <v>1.0</v>
      </c>
      <c r="E398" s="506" t="s">
        <v>233</v>
      </c>
      <c r="F398" s="507">
        <v>1.0</v>
      </c>
      <c r="G398" s="508">
        <v>3300.0</v>
      </c>
      <c r="H398" s="496">
        <f t="shared" si="38"/>
        <v>3300</v>
      </c>
      <c r="I398" s="502"/>
      <c r="J398" s="548"/>
    </row>
    <row r="399" ht="13.5" customHeight="1">
      <c r="A399" s="431"/>
      <c r="B399" s="510">
        <v>7026.0</v>
      </c>
      <c r="C399" s="509" t="s">
        <v>508</v>
      </c>
      <c r="D399" s="509">
        <v>40.0</v>
      </c>
      <c r="E399" s="511" t="s">
        <v>509</v>
      </c>
      <c r="F399" s="507">
        <v>1.0</v>
      </c>
      <c r="G399" s="508">
        <v>80.0</v>
      </c>
      <c r="H399" s="496">
        <f t="shared" si="38"/>
        <v>3200</v>
      </c>
      <c r="I399" s="502"/>
      <c r="J399" s="548"/>
    </row>
    <row r="400" ht="12.75" customHeight="1">
      <c r="A400" s="791"/>
      <c r="B400" s="510">
        <v>7030.0</v>
      </c>
      <c r="C400" s="792" t="s">
        <v>510</v>
      </c>
      <c r="D400" s="793">
        <f>(EDIT_WEEKS+FINISH_WEEKS)/4.33</f>
        <v>12.9330254</v>
      </c>
      <c r="E400" s="511" t="s">
        <v>112</v>
      </c>
      <c r="F400" s="507">
        <v>1.0</v>
      </c>
      <c r="G400" s="508">
        <v>200.0</v>
      </c>
      <c r="H400" s="496">
        <f t="shared" si="38"/>
        <v>2586.605081</v>
      </c>
      <c r="I400" s="502"/>
      <c r="J400" s="548"/>
    </row>
    <row r="401" ht="13.5" customHeight="1">
      <c r="B401" s="510">
        <v>7035.0</v>
      </c>
      <c r="C401" s="505" t="s">
        <v>511</v>
      </c>
      <c r="D401" s="505">
        <v>1.0</v>
      </c>
      <c r="E401" s="506" t="s">
        <v>233</v>
      </c>
      <c r="F401" s="507">
        <v>1.0</v>
      </c>
      <c r="G401" s="508">
        <v>500.0</v>
      </c>
      <c r="H401" s="496">
        <f t="shared" si="38"/>
        <v>500</v>
      </c>
      <c r="I401" s="502"/>
      <c r="J401" s="548"/>
    </row>
    <row r="402" ht="13.5" customHeight="1">
      <c r="A402" s="431"/>
      <c r="B402" s="510">
        <v>7040.0</v>
      </c>
      <c r="C402" s="509" t="s">
        <v>512</v>
      </c>
      <c r="D402" s="505"/>
      <c r="E402" s="511" t="s">
        <v>196</v>
      </c>
      <c r="F402" s="507">
        <v>2.0</v>
      </c>
      <c r="G402" s="508">
        <v>500.0</v>
      </c>
      <c r="H402" s="496">
        <f t="shared" si="38"/>
        <v>0</v>
      </c>
      <c r="I402" s="502"/>
      <c r="J402" s="548"/>
    </row>
    <row r="403" ht="12.75" customHeight="1">
      <c r="A403" s="467"/>
      <c r="B403" s="510">
        <v>7041.0</v>
      </c>
      <c r="C403" s="509" t="s">
        <v>513</v>
      </c>
      <c r="D403" s="793"/>
      <c r="E403" s="794" t="s">
        <v>112</v>
      </c>
      <c r="F403" s="795">
        <v>1.0</v>
      </c>
      <c r="G403" s="796">
        <v>80.0</v>
      </c>
      <c r="H403" s="496">
        <f t="shared" si="38"/>
        <v>0</v>
      </c>
      <c r="I403" s="502"/>
      <c r="J403" s="548"/>
    </row>
    <row r="404" ht="13.5" customHeight="1">
      <c r="A404" s="431"/>
      <c r="B404" s="510">
        <v>7042.0</v>
      </c>
      <c r="C404" s="509" t="s">
        <v>514</v>
      </c>
      <c r="D404" s="674"/>
      <c r="E404" s="511" t="s">
        <v>196</v>
      </c>
      <c r="F404" s="507">
        <v>3.0</v>
      </c>
      <c r="G404" s="508">
        <v>40.0</v>
      </c>
      <c r="H404" s="496">
        <f t="shared" si="38"/>
        <v>0</v>
      </c>
      <c r="I404" s="502"/>
      <c r="J404" s="548"/>
    </row>
    <row r="405" ht="13.5" customHeight="1">
      <c r="A405" s="431"/>
      <c r="B405" s="510">
        <v>7050.0</v>
      </c>
      <c r="C405" s="509" t="s">
        <v>515</v>
      </c>
      <c r="D405" s="752"/>
      <c r="E405" s="75"/>
      <c r="F405" s="782"/>
      <c r="G405" s="783"/>
      <c r="H405" s="496">
        <f t="shared" si="38"/>
        <v>0</v>
      </c>
      <c r="I405" s="502"/>
      <c r="J405" s="548"/>
    </row>
    <row r="406" ht="13.5" customHeight="1">
      <c r="A406" s="431"/>
      <c r="B406" s="504"/>
      <c r="C406" s="509" t="s">
        <v>516</v>
      </c>
      <c r="D406" s="752">
        <v>1.0</v>
      </c>
      <c r="E406" s="511" t="s">
        <v>233</v>
      </c>
      <c r="F406" s="507">
        <v>1.0</v>
      </c>
      <c r="G406" s="508">
        <v>250.0</v>
      </c>
      <c r="H406" s="496">
        <f t="shared" si="38"/>
        <v>250</v>
      </c>
      <c r="I406" s="502"/>
      <c r="J406" s="548"/>
    </row>
    <row r="407" ht="13.5" customHeight="1">
      <c r="A407" s="431"/>
      <c r="B407" s="504"/>
      <c r="C407" s="509" t="s">
        <v>517</v>
      </c>
      <c r="D407" s="752"/>
      <c r="E407" s="511" t="s">
        <v>239</v>
      </c>
      <c r="F407" s="507">
        <v>1.0</v>
      </c>
      <c r="G407" s="508"/>
      <c r="H407" s="496">
        <f t="shared" si="38"/>
        <v>0</v>
      </c>
      <c r="I407" s="502"/>
      <c r="J407" s="548"/>
    </row>
    <row r="408" ht="13.5" customHeight="1">
      <c r="A408" s="431"/>
      <c r="B408" s="504"/>
      <c r="C408" s="509" t="s">
        <v>518</v>
      </c>
      <c r="D408" s="674"/>
      <c r="E408" s="511" t="s">
        <v>233</v>
      </c>
      <c r="F408" s="507">
        <v>1.0</v>
      </c>
      <c r="G408" s="512"/>
      <c r="H408" s="496">
        <f t="shared" si="38"/>
        <v>0</v>
      </c>
      <c r="I408" s="502"/>
      <c r="J408" s="548"/>
    </row>
    <row r="409" ht="13.5" customHeight="1">
      <c r="A409" s="539"/>
      <c r="B409" s="510"/>
      <c r="C409" s="509" t="s">
        <v>519</v>
      </c>
      <c r="D409" s="793"/>
      <c r="E409" s="511" t="s">
        <v>287</v>
      </c>
      <c r="F409" s="547">
        <v>1.0</v>
      </c>
      <c r="G409" s="508">
        <v>12.0</v>
      </c>
      <c r="H409" s="496">
        <f t="shared" si="38"/>
        <v>0</v>
      </c>
      <c r="I409" s="432"/>
      <c r="J409" s="429"/>
    </row>
    <row r="410" ht="13.5" customHeight="1">
      <c r="A410" s="664"/>
      <c r="B410" s="510"/>
      <c r="C410" s="546" t="s">
        <v>520</v>
      </c>
      <c r="D410" s="509"/>
      <c r="E410" s="511" t="s">
        <v>287</v>
      </c>
      <c r="F410" s="547">
        <v>1.0</v>
      </c>
      <c r="G410" s="508">
        <v>15.0</v>
      </c>
      <c r="H410" s="496">
        <f t="shared" si="38"/>
        <v>0</v>
      </c>
      <c r="I410" s="467"/>
      <c r="J410" s="548"/>
    </row>
    <row r="411" ht="13.5" customHeight="1">
      <c r="A411" s="664"/>
      <c r="B411" s="549"/>
      <c r="C411" s="550" t="s">
        <v>521</v>
      </c>
      <c r="D411" s="509"/>
      <c r="E411" s="511" t="s">
        <v>287</v>
      </c>
      <c r="F411" s="547">
        <v>1.0</v>
      </c>
      <c r="G411" s="551">
        <v>45.0</v>
      </c>
      <c r="H411" s="496">
        <f t="shared" si="38"/>
        <v>0</v>
      </c>
      <c r="I411" s="552"/>
      <c r="J411" s="429"/>
    </row>
    <row r="412" ht="13.5" customHeight="1">
      <c r="A412" s="664"/>
      <c r="B412" s="755"/>
      <c r="C412" s="550" t="s">
        <v>522</v>
      </c>
      <c r="D412" s="562"/>
      <c r="E412" s="563" t="s">
        <v>290</v>
      </c>
      <c r="F412" s="797">
        <v>1.0</v>
      </c>
      <c r="G412" s="538">
        <v>300.0</v>
      </c>
      <c r="H412" s="496">
        <f t="shared" si="38"/>
        <v>0</v>
      </c>
      <c r="I412" s="432"/>
      <c r="J412" s="429"/>
    </row>
    <row r="413" ht="13.5" customHeight="1">
      <c r="B413" s="510">
        <v>7060.0</v>
      </c>
      <c r="C413" s="505" t="s">
        <v>523</v>
      </c>
      <c r="D413" s="793">
        <f>(EDIT_WEEKS+FINISH_WEEKS)/4.33</f>
        <v>12.9330254</v>
      </c>
      <c r="E413" s="506" t="s">
        <v>112</v>
      </c>
      <c r="F413" s="507">
        <v>1.0</v>
      </c>
      <c r="G413" s="508">
        <v>80.0</v>
      </c>
      <c r="H413" s="496">
        <f t="shared" si="38"/>
        <v>1034.642032</v>
      </c>
      <c r="I413" s="432"/>
      <c r="J413" s="429"/>
    </row>
    <row r="414" ht="13.5" customHeight="1">
      <c r="A414" s="431"/>
      <c r="B414" s="510">
        <v>7065.0</v>
      </c>
      <c r="C414" s="509" t="s">
        <v>524</v>
      </c>
      <c r="D414" s="793">
        <f>(EDIT_WEEKS)/4.33</f>
        <v>9.237875289</v>
      </c>
      <c r="E414" s="506" t="s">
        <v>112</v>
      </c>
      <c r="F414" s="507">
        <v>1.0</v>
      </c>
      <c r="G414" s="512">
        <v>100.0</v>
      </c>
      <c r="H414" s="496">
        <f t="shared" si="38"/>
        <v>923.7875289</v>
      </c>
      <c r="I414" s="432"/>
      <c r="J414" s="429"/>
    </row>
    <row r="415" ht="13.5" customHeight="1">
      <c r="A415" s="520"/>
      <c r="B415" s="510">
        <v>7070.0</v>
      </c>
      <c r="C415" s="798" t="s">
        <v>525</v>
      </c>
      <c r="D415" s="793">
        <f>(EDIT_WEEKS+FINISH_WEEKS)/4.33</f>
        <v>12.9330254</v>
      </c>
      <c r="E415" s="511" t="s">
        <v>112</v>
      </c>
      <c r="F415" s="507">
        <v>1.0</v>
      </c>
      <c r="G415" s="508">
        <v>150.0</v>
      </c>
      <c r="H415" s="496">
        <f t="shared" si="38"/>
        <v>1939.953811</v>
      </c>
      <c r="I415" s="432"/>
      <c r="J415" s="429"/>
    </row>
    <row r="416" ht="13.5" customHeight="1">
      <c r="A416" s="460"/>
      <c r="B416" s="510">
        <v>7080.0</v>
      </c>
      <c r="C416" s="509" t="s">
        <v>526</v>
      </c>
      <c r="D416" s="505"/>
      <c r="E416" s="511" t="s">
        <v>233</v>
      </c>
      <c r="F416" s="507">
        <v>1.0</v>
      </c>
      <c r="G416" s="508">
        <v>0.0</v>
      </c>
      <c r="H416" s="496">
        <f t="shared" si="38"/>
        <v>0</v>
      </c>
      <c r="I416" s="539"/>
      <c r="J416" s="502"/>
    </row>
    <row r="417" ht="13.5" customHeight="1">
      <c r="A417" s="431"/>
      <c r="B417" s="504">
        <v>7090.0</v>
      </c>
      <c r="C417" s="505" t="s">
        <v>169</v>
      </c>
      <c r="D417" s="505">
        <v>1.0</v>
      </c>
      <c r="E417" s="506" t="s">
        <v>233</v>
      </c>
      <c r="F417" s="507">
        <v>1.0</v>
      </c>
      <c r="G417" s="512">
        <f>MISC</f>
        <v>150</v>
      </c>
      <c r="H417" s="496">
        <f t="shared" si="38"/>
        <v>150</v>
      </c>
      <c r="I417" s="502"/>
      <c r="J417" s="548"/>
    </row>
    <row r="418" ht="12.75" customHeight="1">
      <c r="A418" s="552"/>
      <c r="B418" s="504"/>
      <c r="C418" s="675"/>
      <c r="D418" s="675"/>
      <c r="E418" s="725"/>
      <c r="F418" s="556"/>
      <c r="G418" s="754"/>
      <c r="H418" s="683"/>
      <c r="I418" s="432"/>
      <c r="J418" s="429"/>
    </row>
    <row r="419" ht="12.75" customHeight="1">
      <c r="A419" s="431"/>
      <c r="B419" s="522">
        <v>7100.0</v>
      </c>
      <c r="C419" s="766" t="s">
        <v>527</v>
      </c>
      <c r="D419" s="766"/>
      <c r="E419" s="744"/>
      <c r="F419" s="745"/>
      <c r="G419" s="767"/>
      <c r="H419" s="693">
        <f>SUM(H420:H422)</f>
        <v>800</v>
      </c>
      <c r="I419" s="432"/>
      <c r="J419" s="429"/>
    </row>
    <row r="420" ht="12.75" customHeight="1">
      <c r="A420" s="431"/>
      <c r="B420" s="510">
        <v>7110.0</v>
      </c>
      <c r="C420" s="519" t="s">
        <v>528</v>
      </c>
      <c r="D420" s="519">
        <v>1.0</v>
      </c>
      <c r="E420" s="731" t="s">
        <v>509</v>
      </c>
      <c r="F420" s="547">
        <v>1.0</v>
      </c>
      <c r="G420" s="799">
        <v>150.0</v>
      </c>
      <c r="H420" s="496">
        <f t="shared" ref="H420:H422" si="39">D420*F420*G420</f>
        <v>150</v>
      </c>
      <c r="I420" s="432"/>
      <c r="J420" s="429"/>
    </row>
    <row r="421" ht="12.75" customHeight="1">
      <c r="A421" s="431"/>
      <c r="B421" s="510">
        <v>7120.0</v>
      </c>
      <c r="C421" s="519" t="s">
        <v>529</v>
      </c>
      <c r="D421" s="675">
        <v>1.0</v>
      </c>
      <c r="E421" s="725" t="s">
        <v>233</v>
      </c>
      <c r="F421" s="547">
        <v>1.0</v>
      </c>
      <c r="G421" s="799">
        <v>500.0</v>
      </c>
      <c r="H421" s="496">
        <f t="shared" si="39"/>
        <v>500</v>
      </c>
      <c r="I421" s="432"/>
      <c r="J421" s="429"/>
    </row>
    <row r="422" ht="13.5" customHeight="1">
      <c r="A422" s="431"/>
      <c r="B422" s="510">
        <v>7190.0</v>
      </c>
      <c r="C422" s="675" t="s">
        <v>530</v>
      </c>
      <c r="D422" s="675">
        <v>1.0</v>
      </c>
      <c r="E422" s="725" t="s">
        <v>233</v>
      </c>
      <c r="F422" s="547">
        <v>1.0</v>
      </c>
      <c r="G422" s="754">
        <f>MISC</f>
        <v>150</v>
      </c>
      <c r="H422" s="496">
        <f t="shared" si="39"/>
        <v>150</v>
      </c>
      <c r="I422" s="432"/>
      <c r="J422" s="429"/>
    </row>
    <row r="423" ht="13.5" customHeight="1">
      <c r="A423" s="431"/>
      <c r="B423" s="497"/>
      <c r="C423" s="766"/>
      <c r="D423" s="766"/>
      <c r="E423" s="744"/>
      <c r="F423" s="745"/>
      <c r="G423" s="767"/>
      <c r="H423" s="693"/>
      <c r="I423" s="432"/>
      <c r="J423" s="429"/>
    </row>
    <row r="424" ht="13.5" customHeight="1">
      <c r="A424" s="431"/>
      <c r="B424" s="522">
        <v>7200.0</v>
      </c>
      <c r="C424" s="766" t="s">
        <v>531</v>
      </c>
      <c r="D424" s="766"/>
      <c r="E424" s="744"/>
      <c r="F424" s="745"/>
      <c r="G424" s="767"/>
      <c r="H424" s="693">
        <f>SUM(H425:H430)</f>
        <v>5150</v>
      </c>
      <c r="I424" s="432"/>
      <c r="J424" s="429"/>
    </row>
    <row r="425" ht="13.5" customHeight="1">
      <c r="A425" s="431"/>
      <c r="B425" s="510">
        <v>7210.0</v>
      </c>
      <c r="C425" s="675" t="s">
        <v>532</v>
      </c>
      <c r="D425" s="675">
        <v>1.0</v>
      </c>
      <c r="E425" s="725" t="s">
        <v>231</v>
      </c>
      <c r="F425" s="547">
        <v>1.0</v>
      </c>
      <c r="G425" s="799">
        <v>4000.0</v>
      </c>
      <c r="H425" s="496">
        <f t="shared" ref="H425:H430" si="40">D425*F425*G425</f>
        <v>4000</v>
      </c>
      <c r="I425" s="432"/>
      <c r="J425" s="429"/>
    </row>
    <row r="426" ht="13.5" customHeight="1">
      <c r="A426" s="431"/>
      <c r="B426" s="510">
        <v>7220.0</v>
      </c>
      <c r="C426" s="519" t="s">
        <v>533</v>
      </c>
      <c r="D426" s="519">
        <v>1.0</v>
      </c>
      <c r="E426" s="731" t="s">
        <v>231</v>
      </c>
      <c r="F426" s="547">
        <v>1.0</v>
      </c>
      <c r="G426" s="799">
        <v>1000.0</v>
      </c>
      <c r="H426" s="496">
        <f t="shared" si="40"/>
        <v>1000</v>
      </c>
      <c r="I426" s="432"/>
      <c r="J426" s="429"/>
    </row>
    <row r="427" ht="13.5" customHeight="1">
      <c r="A427" s="431"/>
      <c r="B427" s="510">
        <v>7230.0</v>
      </c>
      <c r="C427" s="519" t="s">
        <v>534</v>
      </c>
      <c r="D427" s="519"/>
      <c r="E427" s="731" t="s">
        <v>233</v>
      </c>
      <c r="F427" s="547">
        <v>1.0</v>
      </c>
      <c r="G427" s="799">
        <v>0.0</v>
      </c>
      <c r="H427" s="496">
        <f t="shared" si="40"/>
        <v>0</v>
      </c>
      <c r="I427" s="432"/>
      <c r="J427" s="429"/>
    </row>
    <row r="428" ht="13.5" customHeight="1">
      <c r="A428" s="431"/>
      <c r="B428" s="510">
        <v>7240.0</v>
      </c>
      <c r="C428" s="519" t="s">
        <v>535</v>
      </c>
      <c r="D428" s="519">
        <v>0.0</v>
      </c>
      <c r="E428" s="725" t="s">
        <v>310</v>
      </c>
      <c r="F428" s="547">
        <v>1.0</v>
      </c>
      <c r="G428" s="754">
        <v>250.0</v>
      </c>
      <c r="H428" s="496">
        <f t="shared" si="40"/>
        <v>0</v>
      </c>
      <c r="I428" s="432"/>
    </row>
    <row r="429" ht="13.5" customHeight="1">
      <c r="A429" s="431"/>
      <c r="B429" s="510">
        <v>7250.0</v>
      </c>
      <c r="C429" s="675" t="s">
        <v>536</v>
      </c>
      <c r="D429" s="519">
        <v>0.0</v>
      </c>
      <c r="E429" s="725" t="s">
        <v>310</v>
      </c>
      <c r="F429" s="547">
        <v>1.0</v>
      </c>
      <c r="G429" s="754">
        <v>250.0</v>
      </c>
      <c r="H429" s="496">
        <f t="shared" si="40"/>
        <v>0</v>
      </c>
      <c r="I429" s="432"/>
      <c r="J429" s="429"/>
    </row>
    <row r="430" ht="13.5" customHeight="1">
      <c r="A430" s="431"/>
      <c r="B430" s="510">
        <v>7290.0</v>
      </c>
      <c r="C430" s="675" t="s">
        <v>169</v>
      </c>
      <c r="D430" s="675">
        <v>1.0</v>
      </c>
      <c r="E430" s="725" t="s">
        <v>233</v>
      </c>
      <c r="F430" s="547">
        <v>1.0</v>
      </c>
      <c r="G430" s="754">
        <f>MISC</f>
        <v>150</v>
      </c>
      <c r="H430" s="496">
        <f t="shared" si="40"/>
        <v>150</v>
      </c>
      <c r="I430" s="432"/>
      <c r="J430" s="429"/>
    </row>
    <row r="431" ht="13.5" customHeight="1">
      <c r="A431" s="431"/>
      <c r="B431" s="504"/>
      <c r="C431" s="675"/>
      <c r="D431" s="675"/>
      <c r="E431" s="725"/>
      <c r="F431" s="556"/>
      <c r="G431" s="754"/>
      <c r="H431" s="683"/>
      <c r="I431" s="432"/>
      <c r="J431" s="429"/>
    </row>
    <row r="432" ht="13.5" customHeight="1">
      <c r="A432" s="431"/>
      <c r="B432" s="522">
        <v>7300.0</v>
      </c>
      <c r="C432" s="679" t="s">
        <v>537</v>
      </c>
      <c r="D432" s="766"/>
      <c r="E432" s="744"/>
      <c r="F432" s="745"/>
      <c r="G432" s="767"/>
      <c r="H432" s="693">
        <f>sum(H433:H434)</f>
        <v>2000</v>
      </c>
      <c r="I432" s="432"/>
      <c r="J432" s="429"/>
    </row>
    <row r="433" ht="13.5" customHeight="1">
      <c r="A433" s="431"/>
      <c r="B433" s="510">
        <v>7310.0</v>
      </c>
      <c r="C433" s="519" t="s">
        <v>538</v>
      </c>
      <c r="D433" s="519">
        <v>4.0</v>
      </c>
      <c r="E433" s="731" t="s">
        <v>310</v>
      </c>
      <c r="F433" s="800">
        <v>1.0</v>
      </c>
      <c r="G433" s="799">
        <v>250.0</v>
      </c>
      <c r="H433" s="496">
        <f t="shared" ref="H433:H434" si="41">D433*F433*G433</f>
        <v>1000</v>
      </c>
      <c r="I433" s="432"/>
      <c r="J433" s="429"/>
    </row>
    <row r="434" ht="13.5" customHeight="1">
      <c r="A434" s="431"/>
      <c r="B434" s="510">
        <v>7320.0</v>
      </c>
      <c r="C434" s="519" t="s">
        <v>539</v>
      </c>
      <c r="D434" s="519">
        <v>4.0</v>
      </c>
      <c r="E434" s="731" t="s">
        <v>310</v>
      </c>
      <c r="F434" s="800">
        <v>1.0</v>
      </c>
      <c r="G434" s="799">
        <v>250.0</v>
      </c>
      <c r="H434" s="496">
        <f t="shared" si="41"/>
        <v>1000</v>
      </c>
      <c r="I434" s="432"/>
      <c r="J434" s="429"/>
    </row>
    <row r="435" ht="13.5" customHeight="1">
      <c r="A435" s="431"/>
      <c r="B435" s="504"/>
      <c r="C435" s="675"/>
      <c r="D435" s="675"/>
      <c r="E435" s="725"/>
      <c r="F435" s="556"/>
      <c r="G435" s="754"/>
      <c r="H435" s="683"/>
      <c r="I435" s="801"/>
      <c r="J435" s="548"/>
    </row>
    <row r="436" ht="13.5" customHeight="1">
      <c r="A436" s="539"/>
      <c r="B436" s="522">
        <v>7400.0</v>
      </c>
      <c r="C436" s="766" t="s">
        <v>540</v>
      </c>
      <c r="D436" s="766"/>
      <c r="E436" s="744"/>
      <c r="F436" s="745"/>
      <c r="G436" s="767"/>
      <c r="H436" s="693">
        <f>SUM(H437:H440)</f>
        <v>11150</v>
      </c>
      <c r="I436" s="502"/>
      <c r="J436" s="548"/>
    </row>
    <row r="437" ht="13.5" customHeight="1">
      <c r="B437" s="510">
        <v>7410.0</v>
      </c>
      <c r="C437" s="519" t="s">
        <v>541</v>
      </c>
      <c r="D437" s="519">
        <v>4.0</v>
      </c>
      <c r="E437" s="731" t="s">
        <v>239</v>
      </c>
      <c r="F437" s="547">
        <v>1.0</v>
      </c>
      <c r="G437" s="799">
        <v>1000.0</v>
      </c>
      <c r="H437" s="496">
        <f t="shared" ref="H437:H440" si="42">D437*F437*G437</f>
        <v>4000</v>
      </c>
      <c r="I437" s="434"/>
      <c r="J437" s="502"/>
    </row>
    <row r="438" ht="13.5" customHeight="1">
      <c r="A438" s="431"/>
      <c r="B438" s="510">
        <v>7420.0</v>
      </c>
      <c r="C438" s="519" t="s">
        <v>542</v>
      </c>
      <c r="D438" s="519">
        <v>5.0</v>
      </c>
      <c r="E438" s="731" t="s">
        <v>239</v>
      </c>
      <c r="F438" s="547">
        <v>1.0</v>
      </c>
      <c r="G438" s="799">
        <v>1400.0</v>
      </c>
      <c r="H438" s="496">
        <f t="shared" si="42"/>
        <v>7000</v>
      </c>
      <c r="I438" s="801"/>
      <c r="J438" s="548"/>
    </row>
    <row r="439" ht="13.5" customHeight="1">
      <c r="A439" s="431"/>
      <c r="B439" s="510">
        <v>7430.0</v>
      </c>
      <c r="C439" s="519" t="s">
        <v>543</v>
      </c>
      <c r="D439" s="675"/>
      <c r="E439" s="731" t="s">
        <v>310</v>
      </c>
      <c r="F439" s="547">
        <v>1.0</v>
      </c>
      <c r="G439" s="799">
        <v>250.0</v>
      </c>
      <c r="H439" s="496">
        <f t="shared" si="42"/>
        <v>0</v>
      </c>
      <c r="I439" s="502"/>
      <c r="J439" s="548"/>
    </row>
    <row r="440" ht="13.5" customHeight="1">
      <c r="A440" s="431"/>
      <c r="B440" s="510">
        <v>7490.0</v>
      </c>
      <c r="C440" s="675" t="s">
        <v>169</v>
      </c>
      <c r="D440" s="519">
        <v>1.0</v>
      </c>
      <c r="E440" s="725" t="s">
        <v>233</v>
      </c>
      <c r="F440" s="547">
        <v>1.0</v>
      </c>
      <c r="G440" s="754">
        <f>MISC</f>
        <v>150</v>
      </c>
      <c r="H440" s="496">
        <f t="shared" si="42"/>
        <v>150</v>
      </c>
      <c r="I440" s="502"/>
      <c r="J440" s="548"/>
    </row>
    <row r="441" ht="13.5" customHeight="1">
      <c r="A441" s="431"/>
      <c r="B441" s="504"/>
      <c r="C441" s="675"/>
      <c r="D441" s="675"/>
      <c r="E441" s="725"/>
      <c r="F441" s="556"/>
      <c r="G441" s="754"/>
      <c r="H441" s="683"/>
      <c r="I441" s="499"/>
      <c r="J441" s="500"/>
    </row>
    <row r="442" ht="13.5" customHeight="1">
      <c r="A442" s="431"/>
      <c r="B442" s="522">
        <v>7500.0</v>
      </c>
      <c r="C442" s="766" t="s">
        <v>544</v>
      </c>
      <c r="D442" s="766"/>
      <c r="E442" s="744"/>
      <c r="F442" s="745"/>
      <c r="G442" s="767"/>
      <c r="H442" s="693">
        <f>SUM(H443:H447)</f>
        <v>31400</v>
      </c>
      <c r="I442" s="502"/>
      <c r="J442" s="548"/>
    </row>
    <row r="443" ht="13.5" customHeight="1">
      <c r="B443" s="510">
        <v>7510.0</v>
      </c>
      <c r="C443" s="519" t="s">
        <v>545</v>
      </c>
      <c r="D443" s="675">
        <v>1.0</v>
      </c>
      <c r="E443" s="725" t="s">
        <v>231</v>
      </c>
      <c r="F443" s="547">
        <v>1.0</v>
      </c>
      <c r="G443" s="799">
        <v>30000.0</v>
      </c>
      <c r="H443" s="496">
        <f t="shared" ref="H443:H447" si="43">D443*F443*G443</f>
        <v>30000</v>
      </c>
      <c r="I443" s="453"/>
      <c r="J443" s="502"/>
    </row>
    <row r="444" ht="12.75" customHeight="1">
      <c r="A444" s="431"/>
      <c r="B444" s="510">
        <v>7520.0</v>
      </c>
      <c r="C444" s="519" t="s">
        <v>546</v>
      </c>
      <c r="D444" s="675">
        <v>5.0</v>
      </c>
      <c r="E444" s="725" t="s">
        <v>310</v>
      </c>
      <c r="F444" s="547">
        <v>1.0</v>
      </c>
      <c r="G444" s="754">
        <v>250.0</v>
      </c>
      <c r="H444" s="496">
        <f t="shared" si="43"/>
        <v>1250</v>
      </c>
      <c r="I444" s="502"/>
      <c r="J444" s="548"/>
    </row>
    <row r="445" ht="12.75" customHeight="1">
      <c r="A445" s="431"/>
      <c r="B445" s="510">
        <v>7530.0</v>
      </c>
      <c r="C445" s="519" t="s">
        <v>547</v>
      </c>
      <c r="D445" s="675"/>
      <c r="E445" s="725" t="s">
        <v>233</v>
      </c>
      <c r="F445" s="547">
        <v>1.0</v>
      </c>
      <c r="G445" s="754">
        <v>5000.0</v>
      </c>
      <c r="H445" s="496">
        <f t="shared" si="43"/>
        <v>0</v>
      </c>
      <c r="I445" s="502"/>
      <c r="J445" s="548"/>
    </row>
    <row r="446" ht="12.75" customHeight="1">
      <c r="A446" s="431"/>
      <c r="B446" s="510">
        <v>7580.0</v>
      </c>
      <c r="C446" s="519" t="s">
        <v>548</v>
      </c>
      <c r="D446" s="675"/>
      <c r="E446" s="731" t="s">
        <v>233</v>
      </c>
      <c r="F446" s="547">
        <v>1.0</v>
      </c>
      <c r="G446" s="799">
        <v>0.0</v>
      </c>
      <c r="H446" s="496">
        <f t="shared" si="43"/>
        <v>0</v>
      </c>
      <c r="I446" s="502"/>
      <c r="J446" s="548"/>
    </row>
    <row r="447" ht="12.75" customHeight="1">
      <c r="A447" s="431"/>
      <c r="B447" s="510">
        <v>7590.0</v>
      </c>
      <c r="C447" s="675" t="s">
        <v>169</v>
      </c>
      <c r="D447" s="675">
        <v>1.0</v>
      </c>
      <c r="E447" s="725" t="s">
        <v>233</v>
      </c>
      <c r="F447" s="547">
        <v>1.0</v>
      </c>
      <c r="G447" s="754">
        <f>MISC</f>
        <v>150</v>
      </c>
      <c r="H447" s="496">
        <f t="shared" si="43"/>
        <v>150</v>
      </c>
      <c r="I447" s="502"/>
    </row>
    <row r="448" ht="12.75" customHeight="1">
      <c r="A448" s="431"/>
      <c r="B448" s="504"/>
      <c r="C448" s="675"/>
      <c r="D448" s="675"/>
      <c r="E448" s="725"/>
      <c r="F448" s="556"/>
      <c r="G448" s="754"/>
      <c r="H448" s="683"/>
      <c r="I448" s="502"/>
    </row>
    <row r="449" ht="12.75" customHeight="1">
      <c r="A449" s="431"/>
      <c r="B449" s="522">
        <v>7600.0</v>
      </c>
      <c r="C449" s="679" t="s">
        <v>549</v>
      </c>
      <c r="D449" s="766"/>
      <c r="E449" s="744"/>
      <c r="F449" s="745"/>
      <c r="G449" s="767"/>
      <c r="H449" s="693">
        <f>SUM(H450:H462)</f>
        <v>8900</v>
      </c>
      <c r="I449" s="502"/>
    </row>
    <row r="450" ht="13.5" customHeight="1">
      <c r="A450" s="431"/>
      <c r="B450" s="510">
        <v>7610.0</v>
      </c>
      <c r="C450" s="519" t="s">
        <v>550</v>
      </c>
      <c r="D450" s="519">
        <v>1.0</v>
      </c>
      <c r="E450" s="731" t="s">
        <v>233</v>
      </c>
      <c r="F450" s="547">
        <v>1.0</v>
      </c>
      <c r="G450" s="799">
        <v>500.0</v>
      </c>
      <c r="H450" s="496">
        <f t="shared" ref="H450:H462" si="44">D450*F450*G450</f>
        <v>500</v>
      </c>
      <c r="I450" s="801"/>
    </row>
    <row r="451" ht="13.5" customHeight="1">
      <c r="A451" s="431"/>
      <c r="B451" s="510">
        <v>7620.0</v>
      </c>
      <c r="C451" s="519" t="s">
        <v>551</v>
      </c>
      <c r="D451" s="675">
        <v>1.0</v>
      </c>
      <c r="E451" s="725" t="s">
        <v>233</v>
      </c>
      <c r="F451" s="547">
        <v>1.0</v>
      </c>
      <c r="G451" s="799">
        <v>400.0</v>
      </c>
      <c r="H451" s="496">
        <f t="shared" si="44"/>
        <v>400</v>
      </c>
      <c r="I451" s="502"/>
    </row>
    <row r="452" ht="13.5" customHeight="1">
      <c r="A452" s="431"/>
      <c r="B452" s="510">
        <v>7621.0</v>
      </c>
      <c r="C452" s="519" t="s">
        <v>552</v>
      </c>
      <c r="D452" s="675">
        <v>1.0</v>
      </c>
      <c r="E452" s="725" t="s">
        <v>233</v>
      </c>
      <c r="F452" s="547">
        <v>1.0</v>
      </c>
      <c r="G452" s="799">
        <v>400.0</v>
      </c>
      <c r="H452" s="496">
        <f t="shared" si="44"/>
        <v>400</v>
      </c>
      <c r="I452" s="502"/>
    </row>
    <row r="453" ht="13.5" customHeight="1">
      <c r="A453" s="431"/>
      <c r="B453" s="510">
        <v>7630.0</v>
      </c>
      <c r="C453" s="519" t="s">
        <v>553</v>
      </c>
      <c r="D453" s="519">
        <v>1.0</v>
      </c>
      <c r="E453" s="731" t="s">
        <v>233</v>
      </c>
      <c r="F453" s="547">
        <v>1.0</v>
      </c>
      <c r="G453" s="799">
        <v>1500.0</v>
      </c>
      <c r="H453" s="496">
        <f t="shared" si="44"/>
        <v>1500</v>
      </c>
      <c r="I453" s="502"/>
      <c r="J453" s="548"/>
    </row>
    <row r="454" ht="13.5" customHeight="1">
      <c r="A454" s="431"/>
      <c r="B454" s="510">
        <v>7640.0</v>
      </c>
      <c r="C454" s="519" t="s">
        <v>554</v>
      </c>
      <c r="D454" s="519">
        <v>1.0</v>
      </c>
      <c r="E454" s="731" t="s">
        <v>233</v>
      </c>
      <c r="F454" s="547">
        <v>1.0</v>
      </c>
      <c r="G454" s="799">
        <v>1500.0</v>
      </c>
      <c r="H454" s="496">
        <f t="shared" si="44"/>
        <v>1500</v>
      </c>
      <c r="I454" s="432"/>
      <c r="J454" s="429"/>
    </row>
    <row r="455" ht="13.5" customHeight="1">
      <c r="A455" s="431"/>
      <c r="B455" s="510">
        <v>7641.0</v>
      </c>
      <c r="C455" s="519" t="s">
        <v>555</v>
      </c>
      <c r="D455" s="519">
        <v>1.0</v>
      </c>
      <c r="E455" s="731" t="s">
        <v>233</v>
      </c>
      <c r="F455" s="547">
        <v>1.0</v>
      </c>
      <c r="G455" s="799">
        <v>750.0</v>
      </c>
      <c r="H455" s="496">
        <f t="shared" si="44"/>
        <v>750</v>
      </c>
      <c r="I455" s="432"/>
      <c r="J455" s="429"/>
    </row>
    <row r="456" ht="12.75" customHeight="1">
      <c r="A456" s="431"/>
      <c r="B456" s="510">
        <v>7650.0</v>
      </c>
      <c r="C456" s="519" t="s">
        <v>556</v>
      </c>
      <c r="D456" s="519">
        <v>1.0</v>
      </c>
      <c r="E456" s="731" t="s">
        <v>233</v>
      </c>
      <c r="F456" s="547">
        <v>1.0</v>
      </c>
      <c r="G456" s="799">
        <v>800.0</v>
      </c>
      <c r="H456" s="496">
        <f t="shared" si="44"/>
        <v>800</v>
      </c>
      <c r="I456" s="432"/>
      <c r="J456" s="429"/>
    </row>
    <row r="457" ht="13.5" customHeight="1">
      <c r="B457" s="510">
        <v>7660.0</v>
      </c>
      <c r="C457" s="519" t="s">
        <v>557</v>
      </c>
      <c r="D457" s="675">
        <v>1.0</v>
      </c>
      <c r="E457" s="725" t="s">
        <v>558</v>
      </c>
      <c r="F457" s="547">
        <v>1.0</v>
      </c>
      <c r="G457" s="799">
        <v>2000.0</v>
      </c>
      <c r="H457" s="496">
        <f t="shared" si="44"/>
        <v>2000</v>
      </c>
      <c r="I457" s="432"/>
      <c r="J457" s="429"/>
    </row>
    <row r="458" ht="13.5" customHeight="1">
      <c r="A458" s="431"/>
      <c r="B458" s="510">
        <v>7670.0</v>
      </c>
      <c r="C458" s="519" t="s">
        <v>559</v>
      </c>
      <c r="D458" s="675">
        <v>2.0</v>
      </c>
      <c r="E458" s="725" t="s">
        <v>558</v>
      </c>
      <c r="F458" s="547">
        <v>1.0</v>
      </c>
      <c r="G458" s="754">
        <v>200.0</v>
      </c>
      <c r="H458" s="496">
        <f t="shared" si="44"/>
        <v>400</v>
      </c>
      <c r="I458" s="432"/>
      <c r="J458" s="429"/>
    </row>
    <row r="459" ht="13.5" customHeight="1">
      <c r="A459" s="431"/>
      <c r="B459" s="510">
        <v>7680.0</v>
      </c>
      <c r="C459" s="519" t="s">
        <v>560</v>
      </c>
      <c r="D459" s="675"/>
      <c r="E459" s="725" t="s">
        <v>233</v>
      </c>
      <c r="F459" s="547">
        <v>1.0</v>
      </c>
      <c r="G459" s="799">
        <v>2000.0</v>
      </c>
      <c r="H459" s="496">
        <f t="shared" si="44"/>
        <v>0</v>
      </c>
      <c r="I459" s="502"/>
      <c r="J459" s="548"/>
    </row>
    <row r="460" ht="13.5" customHeight="1">
      <c r="A460" s="431"/>
      <c r="B460" s="510">
        <v>7685.0</v>
      </c>
      <c r="C460" s="519" t="s">
        <v>561</v>
      </c>
      <c r="D460" s="519"/>
      <c r="E460" s="731" t="s">
        <v>233</v>
      </c>
      <c r="F460" s="547">
        <v>1.0</v>
      </c>
      <c r="G460" s="799">
        <v>1000.0</v>
      </c>
      <c r="H460" s="496">
        <f t="shared" si="44"/>
        <v>0</v>
      </c>
      <c r="I460" s="502"/>
      <c r="J460" s="548"/>
    </row>
    <row r="461" ht="13.5" customHeight="1">
      <c r="A461" s="431"/>
      <c r="B461" s="510">
        <v>7687.0</v>
      </c>
      <c r="C461" s="519" t="s">
        <v>562</v>
      </c>
      <c r="D461" s="519">
        <v>1.0</v>
      </c>
      <c r="E461" s="731" t="s">
        <v>233</v>
      </c>
      <c r="F461" s="547">
        <v>1.0</v>
      </c>
      <c r="G461" s="799">
        <v>500.0</v>
      </c>
      <c r="H461" s="496">
        <f t="shared" si="44"/>
        <v>500</v>
      </c>
      <c r="I461" s="502"/>
      <c r="J461" s="548"/>
    </row>
    <row r="462" ht="13.5" customHeight="1">
      <c r="A462" s="431"/>
      <c r="B462" s="510">
        <v>7690.0</v>
      </c>
      <c r="C462" s="519" t="s">
        <v>563</v>
      </c>
      <c r="D462" s="675">
        <v>1.0</v>
      </c>
      <c r="E462" s="725" t="s">
        <v>233</v>
      </c>
      <c r="F462" s="547">
        <v>1.0</v>
      </c>
      <c r="G462" s="754">
        <f>MISC</f>
        <v>150</v>
      </c>
      <c r="H462" s="496">
        <f t="shared" si="44"/>
        <v>150</v>
      </c>
      <c r="I462" s="502"/>
      <c r="J462" s="548"/>
    </row>
    <row r="463" ht="13.5" customHeight="1">
      <c r="A463" s="431"/>
      <c r="B463" s="504"/>
      <c r="C463" s="675"/>
      <c r="D463" s="675"/>
      <c r="E463" s="725"/>
      <c r="F463" s="556"/>
      <c r="G463" s="754"/>
      <c r="H463" s="683"/>
      <c r="I463" s="502"/>
      <c r="J463" s="548"/>
    </row>
    <row r="464" ht="13.5" customHeight="1">
      <c r="A464" s="431"/>
      <c r="B464" s="522">
        <v>7700.0</v>
      </c>
      <c r="C464" s="523" t="s">
        <v>564</v>
      </c>
      <c r="D464" s="485"/>
      <c r="E464" s="486"/>
      <c r="F464" s="487"/>
      <c r="G464" s="488"/>
      <c r="H464" s="489">
        <f>SUM(H465:H471)</f>
        <v>11450</v>
      </c>
      <c r="I464" s="499"/>
      <c r="J464" s="500"/>
    </row>
    <row r="465" ht="13.5" customHeight="1">
      <c r="A465" s="431"/>
      <c r="B465" s="510">
        <v>7710.0</v>
      </c>
      <c r="C465" s="509" t="s">
        <v>565</v>
      </c>
      <c r="D465" s="491">
        <v>1.0</v>
      </c>
      <c r="E465" s="545" t="s">
        <v>233</v>
      </c>
      <c r="F465" s="494">
        <v>1.0</v>
      </c>
      <c r="G465" s="528">
        <v>2000.0</v>
      </c>
      <c r="H465" s="496">
        <f t="shared" ref="H465:H471" si="45">D465*F465*G465</f>
        <v>2000</v>
      </c>
      <c r="I465" s="499"/>
      <c r="J465" s="500"/>
    </row>
    <row r="466" ht="13.5" customHeight="1">
      <c r="A466" s="539"/>
      <c r="B466" s="510">
        <v>7720.0</v>
      </c>
      <c r="C466" s="509" t="s">
        <v>566</v>
      </c>
      <c r="D466" s="505">
        <v>180.0</v>
      </c>
      <c r="E466" s="506" t="s">
        <v>567</v>
      </c>
      <c r="F466" s="494">
        <v>1.0</v>
      </c>
      <c r="G466" s="508">
        <v>45.0</v>
      </c>
      <c r="H466" s="496">
        <f t="shared" si="45"/>
        <v>8100</v>
      </c>
      <c r="I466" s="463"/>
    </row>
    <row r="467" ht="13.5" customHeight="1">
      <c r="A467" s="431"/>
      <c r="B467" s="510">
        <v>7730.0</v>
      </c>
      <c r="C467" s="509" t="s">
        <v>568</v>
      </c>
      <c r="D467" s="509">
        <v>4.0</v>
      </c>
      <c r="E467" s="506" t="s">
        <v>569</v>
      </c>
      <c r="F467" s="494">
        <v>1.0</v>
      </c>
      <c r="G467" s="508">
        <v>200.0</v>
      </c>
      <c r="H467" s="496">
        <f t="shared" si="45"/>
        <v>800</v>
      </c>
      <c r="I467" s="802"/>
    </row>
    <row r="468" ht="13.5" customHeight="1">
      <c r="A468" s="431"/>
      <c r="B468" s="510">
        <v>7740.0</v>
      </c>
      <c r="C468" s="509" t="s">
        <v>570</v>
      </c>
      <c r="D468" s="505">
        <v>1.0</v>
      </c>
      <c r="E468" s="506" t="s">
        <v>233</v>
      </c>
      <c r="F468" s="494">
        <v>1.0</v>
      </c>
      <c r="G468" s="508">
        <v>400.0</v>
      </c>
      <c r="H468" s="496">
        <f t="shared" si="45"/>
        <v>400</v>
      </c>
      <c r="I468" s="432"/>
      <c r="J468" s="429"/>
    </row>
    <row r="469" ht="13.5" customHeight="1">
      <c r="A469" s="431"/>
      <c r="B469" s="510">
        <v>7750.0</v>
      </c>
      <c r="C469" s="509" t="s">
        <v>571</v>
      </c>
      <c r="D469" s="803"/>
      <c r="E469" s="804" t="s">
        <v>233</v>
      </c>
      <c r="F469" s="494">
        <v>1.0</v>
      </c>
      <c r="G469" s="735">
        <v>400.0</v>
      </c>
      <c r="H469" s="496">
        <f t="shared" si="45"/>
        <v>0</v>
      </c>
      <c r="I469" s="499"/>
      <c r="J469" s="500"/>
    </row>
    <row r="470" ht="13.5" customHeight="1">
      <c r="A470" s="431"/>
      <c r="B470" s="510">
        <v>7760.0</v>
      </c>
      <c r="C470" s="505" t="s">
        <v>572</v>
      </c>
      <c r="D470" s="505"/>
      <c r="E470" s="506" t="s">
        <v>233</v>
      </c>
      <c r="F470" s="494">
        <v>1.0</v>
      </c>
      <c r="G470" s="508">
        <v>200.0</v>
      </c>
      <c r="H470" s="496">
        <f t="shared" si="45"/>
        <v>0</v>
      </c>
      <c r="I470" s="499"/>
      <c r="J470" s="500"/>
    </row>
    <row r="471" ht="13.5" customHeight="1">
      <c r="A471" s="431"/>
      <c r="B471" s="510">
        <v>7790.0</v>
      </c>
      <c r="C471" s="505" t="s">
        <v>169</v>
      </c>
      <c r="D471" s="505">
        <v>1.0</v>
      </c>
      <c r="E471" s="506" t="s">
        <v>233</v>
      </c>
      <c r="F471" s="494">
        <v>1.0</v>
      </c>
      <c r="G471" s="512">
        <f>MISC</f>
        <v>150</v>
      </c>
      <c r="H471" s="496">
        <f t="shared" si="45"/>
        <v>150</v>
      </c>
      <c r="I471" s="499"/>
      <c r="J471" s="500"/>
    </row>
    <row r="472" ht="12.75" customHeight="1">
      <c r="A472" s="431"/>
      <c r="B472" s="504"/>
      <c r="C472" s="505" t="s">
        <v>1</v>
      </c>
      <c r="D472" s="505" t="s">
        <v>1</v>
      </c>
      <c r="E472" s="506" t="s">
        <v>1</v>
      </c>
      <c r="F472" s="513"/>
      <c r="G472" s="512" t="s">
        <v>1</v>
      </c>
      <c r="H472" s="496" t="s">
        <v>1</v>
      </c>
      <c r="I472" s="432"/>
      <c r="J472" s="429"/>
    </row>
    <row r="473" ht="13.5" customHeight="1">
      <c r="B473" s="522">
        <v>7800.0</v>
      </c>
      <c r="C473" s="498" t="s">
        <v>573</v>
      </c>
      <c r="D473" s="805"/>
      <c r="E473" s="806"/>
      <c r="F473" s="691"/>
      <c r="G473" s="692"/>
      <c r="H473" s="515">
        <f>SUM(H474:H480)</f>
        <v>30150</v>
      </c>
      <c r="I473" s="432"/>
      <c r="J473" s="429"/>
    </row>
    <row r="474" ht="13.5" customHeight="1">
      <c r="A474" s="431"/>
      <c r="B474" s="510">
        <v>7810.0</v>
      </c>
      <c r="C474" s="505" t="s">
        <v>574</v>
      </c>
      <c r="D474" s="505">
        <v>1.0</v>
      </c>
      <c r="E474" s="506" t="s">
        <v>231</v>
      </c>
      <c r="F474" s="507">
        <v>1.0</v>
      </c>
      <c r="G474" s="508">
        <v>30000.0</v>
      </c>
      <c r="H474" s="496">
        <f t="shared" ref="H474:H480" si="46">D474*F474*G474</f>
        <v>30000</v>
      </c>
      <c r="I474" s="432"/>
      <c r="J474" s="429"/>
    </row>
    <row r="475" ht="13.5" customHeight="1">
      <c r="A475" s="431"/>
      <c r="B475" s="510">
        <v>7820.0</v>
      </c>
      <c r="C475" s="733" t="s">
        <v>575</v>
      </c>
      <c r="D475" s="733"/>
      <c r="E475" s="536" t="s">
        <v>576</v>
      </c>
      <c r="F475" s="507">
        <v>1.0</v>
      </c>
      <c r="G475" s="512">
        <v>500.0</v>
      </c>
      <c r="H475" s="496">
        <f t="shared" si="46"/>
        <v>0</v>
      </c>
      <c r="I475" s="499"/>
      <c r="J475" s="500"/>
    </row>
    <row r="476" ht="13.5" customHeight="1">
      <c r="A476" s="431"/>
      <c r="B476" s="549">
        <v>7830.0</v>
      </c>
      <c r="C476" s="561" t="s">
        <v>577</v>
      </c>
      <c r="D476" s="733"/>
      <c r="E476" s="563" t="s">
        <v>576</v>
      </c>
      <c r="F476" s="507">
        <v>1.0</v>
      </c>
      <c r="G476" s="538">
        <v>3000.0</v>
      </c>
      <c r="H476" s="496">
        <f t="shared" si="46"/>
        <v>0</v>
      </c>
      <c r="I476" s="499"/>
      <c r="J476" s="500"/>
    </row>
    <row r="477" ht="13.5" customHeight="1">
      <c r="A477" s="431"/>
      <c r="B477" s="549">
        <v>7840.0</v>
      </c>
      <c r="C477" s="561" t="s">
        <v>578</v>
      </c>
      <c r="D477" s="733"/>
      <c r="E477" s="563" t="s">
        <v>576</v>
      </c>
      <c r="F477" s="507">
        <v>1.0</v>
      </c>
      <c r="G477" s="538">
        <v>3000.0</v>
      </c>
      <c r="H477" s="496">
        <f t="shared" si="46"/>
        <v>0</v>
      </c>
      <c r="I477" s="499"/>
      <c r="J477" s="500"/>
    </row>
    <row r="478" ht="13.5" customHeight="1">
      <c r="A478" s="431"/>
      <c r="B478" s="549">
        <v>7850.0</v>
      </c>
      <c r="C478" s="561" t="s">
        <v>579</v>
      </c>
      <c r="D478" s="535"/>
      <c r="E478" s="563" t="s">
        <v>233</v>
      </c>
      <c r="F478" s="507">
        <v>1.0</v>
      </c>
      <c r="G478" s="538">
        <v>250.0</v>
      </c>
      <c r="H478" s="496">
        <f t="shared" si="46"/>
        <v>0</v>
      </c>
      <c r="I478" s="499"/>
      <c r="J478" s="500"/>
    </row>
    <row r="479" ht="13.5" customHeight="1">
      <c r="A479" s="431"/>
      <c r="B479" s="510">
        <v>7898.0</v>
      </c>
      <c r="C479" s="505" t="s">
        <v>275</v>
      </c>
      <c r="D479" s="505"/>
      <c r="E479" s="506" t="s">
        <v>276</v>
      </c>
      <c r="F479" s="507">
        <v>1.0</v>
      </c>
      <c r="G479" s="512">
        <v>0.0</v>
      </c>
      <c r="H479" s="496">
        <f t="shared" si="46"/>
        <v>0</v>
      </c>
      <c r="I479" s="499"/>
      <c r="J479" s="500"/>
    </row>
    <row r="480" ht="13.5" customHeight="1">
      <c r="A480" s="431"/>
      <c r="B480" s="510">
        <v>7890.0</v>
      </c>
      <c r="C480" s="505" t="s">
        <v>169</v>
      </c>
      <c r="D480" s="505">
        <v>1.0</v>
      </c>
      <c r="E480" s="506" t="s">
        <v>233</v>
      </c>
      <c r="F480" s="507">
        <v>1.0</v>
      </c>
      <c r="G480" s="512">
        <f>MISC</f>
        <v>150</v>
      </c>
      <c r="H480" s="496">
        <f t="shared" si="46"/>
        <v>150</v>
      </c>
      <c r="I480" s="432"/>
      <c r="J480" s="429"/>
    </row>
    <row r="481" ht="13.5" customHeight="1">
      <c r="A481" s="431"/>
      <c r="B481" s="807"/>
      <c r="C481" s="808"/>
      <c r="D481" s="808"/>
      <c r="E481" s="809"/>
      <c r="F481" s="810"/>
      <c r="G481" s="767"/>
      <c r="H481" s="811"/>
      <c r="I481" s="502"/>
      <c r="J481" s="548"/>
    </row>
    <row r="482" ht="13.5" customHeight="1">
      <c r="A482" s="431"/>
      <c r="B482" s="522">
        <v>7900.0</v>
      </c>
      <c r="C482" s="679" t="s">
        <v>580</v>
      </c>
      <c r="D482" s="766"/>
      <c r="E482" s="744"/>
      <c r="F482" s="745"/>
      <c r="G482" s="767"/>
      <c r="H482" s="693">
        <f>SUM(H483:H490)</f>
        <v>7465</v>
      </c>
      <c r="I482" s="502"/>
      <c r="J482" s="548"/>
    </row>
    <row r="483" ht="13.5" customHeight="1">
      <c r="A483" s="431"/>
      <c r="B483" s="510">
        <v>7910.0</v>
      </c>
      <c r="C483" s="519" t="s">
        <v>581</v>
      </c>
      <c r="D483" s="675">
        <f>95</f>
        <v>95</v>
      </c>
      <c r="E483" s="725" t="s">
        <v>287</v>
      </c>
      <c r="F483" s="547">
        <v>1.0</v>
      </c>
      <c r="G483" s="754">
        <v>12.0</v>
      </c>
      <c r="H483" s="496">
        <f t="shared" ref="H483:H490" si="47">D483*F483*G483</f>
        <v>1140</v>
      </c>
      <c r="I483" s="502"/>
      <c r="J483" s="548"/>
    </row>
    <row r="484" ht="13.5" customHeight="1">
      <c r="A484" s="431"/>
      <c r="B484" s="510">
        <v>7912.0</v>
      </c>
      <c r="C484" s="675" t="s">
        <v>582</v>
      </c>
      <c r="D484" s="519">
        <v>95.0</v>
      </c>
      <c r="E484" s="725" t="s">
        <v>287</v>
      </c>
      <c r="F484" s="547">
        <v>1.0</v>
      </c>
      <c r="G484" s="754">
        <v>5.0</v>
      </c>
      <c r="H484" s="496">
        <f t="shared" si="47"/>
        <v>475</v>
      </c>
      <c r="I484" s="502"/>
      <c r="J484" s="548"/>
    </row>
    <row r="485" ht="13.5" customHeight="1">
      <c r="B485" s="510">
        <v>7920.0</v>
      </c>
      <c r="C485" s="546" t="s">
        <v>583</v>
      </c>
      <c r="D485" s="509">
        <v>95.0</v>
      </c>
      <c r="E485" s="511" t="s">
        <v>287</v>
      </c>
      <c r="F485" s="547">
        <v>1.0</v>
      </c>
      <c r="G485" s="508">
        <v>15.0</v>
      </c>
      <c r="H485" s="496">
        <f t="shared" si="47"/>
        <v>1425</v>
      </c>
      <c r="I485" s="812"/>
      <c r="J485" s="548"/>
    </row>
    <row r="486" ht="13.5" customHeight="1">
      <c r="B486" s="549">
        <v>7930.0</v>
      </c>
      <c r="C486" s="550" t="s">
        <v>584</v>
      </c>
      <c r="D486" s="509">
        <v>95.0</v>
      </c>
      <c r="E486" s="511" t="s">
        <v>287</v>
      </c>
      <c r="F486" s="547">
        <v>1.0</v>
      </c>
      <c r="G486" s="551">
        <v>45.0</v>
      </c>
      <c r="H486" s="496">
        <f t="shared" si="47"/>
        <v>4275</v>
      </c>
      <c r="J486" s="429"/>
    </row>
    <row r="487" ht="13.5" customHeight="1">
      <c r="B487" s="549">
        <v>7940.0</v>
      </c>
      <c r="C487" s="550" t="s">
        <v>585</v>
      </c>
      <c r="D487" s="509"/>
      <c r="E487" s="511" t="s">
        <v>233</v>
      </c>
      <c r="F487" s="547">
        <v>1.0</v>
      </c>
      <c r="G487" s="551">
        <v>6000.0</v>
      </c>
      <c r="H487" s="496">
        <f t="shared" si="47"/>
        <v>0</v>
      </c>
      <c r="I487" s="552"/>
      <c r="J487" s="429"/>
    </row>
    <row r="488" ht="13.5" customHeight="1">
      <c r="A488" s="664"/>
      <c r="B488" s="549">
        <v>7950.0</v>
      </c>
      <c r="C488" s="554" t="s">
        <v>586</v>
      </c>
      <c r="D488" s="509"/>
      <c r="E488" s="511" t="s">
        <v>290</v>
      </c>
      <c r="F488" s="547">
        <v>1.0</v>
      </c>
      <c r="G488" s="551">
        <v>350.0</v>
      </c>
      <c r="H488" s="496">
        <f t="shared" si="47"/>
        <v>0</v>
      </c>
      <c r="I488" s="552"/>
      <c r="J488" s="429"/>
    </row>
    <row r="489" ht="13.5" customHeight="1">
      <c r="B489" s="510">
        <v>7960.0</v>
      </c>
      <c r="C489" s="533" t="s">
        <v>587</v>
      </c>
      <c r="D489" s="666"/>
      <c r="E489" s="534" t="s">
        <v>233</v>
      </c>
      <c r="F489" s="547">
        <v>1.0</v>
      </c>
      <c r="G489" s="508">
        <v>3350.0</v>
      </c>
      <c r="H489" s="496">
        <f t="shared" si="47"/>
        <v>0</v>
      </c>
      <c r="I489" s="432"/>
      <c r="J489" s="429"/>
    </row>
    <row r="490" ht="13.5" customHeight="1">
      <c r="B490" s="813">
        <v>7990.0</v>
      </c>
      <c r="C490" s="814" t="s">
        <v>588</v>
      </c>
      <c r="D490" s="815">
        <v>1.0</v>
      </c>
      <c r="E490" s="816" t="s">
        <v>233</v>
      </c>
      <c r="F490" s="817">
        <v>1.0</v>
      </c>
      <c r="G490" s="606">
        <f>MISC</f>
        <v>150</v>
      </c>
      <c r="H490" s="496">
        <f t="shared" si="47"/>
        <v>150</v>
      </c>
      <c r="I490" s="432"/>
      <c r="J490" s="429"/>
    </row>
    <row r="491" ht="13.5" customHeight="1">
      <c r="B491" s="818"/>
      <c r="C491" s="819"/>
      <c r="D491" s="610"/>
      <c r="E491" s="611"/>
      <c r="F491" s="610"/>
      <c r="G491" s="820"/>
      <c r="H491" s="821"/>
      <c r="I491" s="502"/>
      <c r="J491" s="548"/>
    </row>
    <row r="492" ht="13.5" customHeight="1">
      <c r="A492" s="431"/>
      <c r="B492" s="714"/>
      <c r="C492" s="715" t="s">
        <v>296</v>
      </c>
      <c r="D492" s="769"/>
      <c r="E492" s="576"/>
      <c r="F492" s="577"/>
      <c r="G492" s="578"/>
      <c r="H492" s="579">
        <f>SUM(H383:H490)/2</f>
        <v>142315.4885</v>
      </c>
      <c r="I492" s="432"/>
      <c r="J492" s="429"/>
    </row>
    <row r="493" ht="13.5" customHeight="1">
      <c r="A493" s="431"/>
      <c r="B493" s="580"/>
      <c r="C493" s="822" t="s">
        <v>1</v>
      </c>
      <c r="D493" s="451"/>
      <c r="E493" s="582"/>
      <c r="F493" s="443"/>
      <c r="G493" s="583"/>
      <c r="H493" s="586"/>
      <c r="I493" s="432"/>
      <c r="J493" s="429"/>
    </row>
    <row r="494" ht="13.5" customHeight="1">
      <c r="A494" s="431"/>
      <c r="B494" s="580"/>
      <c r="C494" s="449"/>
      <c r="D494" s="451"/>
      <c r="E494" s="582"/>
      <c r="F494" s="443"/>
      <c r="G494" s="583"/>
      <c r="H494" s="586"/>
      <c r="I494" s="432"/>
      <c r="J494" s="429"/>
    </row>
    <row r="495" ht="13.5" customHeight="1">
      <c r="A495" s="431"/>
      <c r="B495" s="645"/>
      <c r="C495" s="646" t="s">
        <v>589</v>
      </c>
      <c r="D495" s="613" t="s">
        <v>186</v>
      </c>
      <c r="E495" s="614" t="s">
        <v>187</v>
      </c>
      <c r="F495" s="613" t="s">
        <v>188</v>
      </c>
      <c r="G495" s="423" t="s">
        <v>189</v>
      </c>
      <c r="H495" s="424" t="s">
        <v>190</v>
      </c>
      <c r="I495" s="432"/>
      <c r="J495" s="429"/>
    </row>
    <row r="496" ht="13.5" customHeight="1">
      <c r="A496" s="431"/>
      <c r="B496" s="580"/>
      <c r="C496" s="762"/>
      <c r="D496" s="763"/>
      <c r="E496" s="617"/>
      <c r="F496" s="616"/>
      <c r="G496" s="618"/>
      <c r="H496" s="764"/>
      <c r="I496" s="432"/>
      <c r="J496" s="429"/>
    </row>
    <row r="497" ht="12.75" customHeight="1">
      <c r="A497" s="431"/>
      <c r="B497" s="597">
        <v>8000.0</v>
      </c>
      <c r="C497" s="823" t="s">
        <v>589</v>
      </c>
      <c r="D497" s="648"/>
      <c r="E497" s="722"/>
      <c r="F497" s="723"/>
      <c r="G497" s="824"/>
      <c r="H497" s="825">
        <f>SUM(H498:H507)</f>
        <v>19350</v>
      </c>
      <c r="I497" s="432"/>
      <c r="J497" s="429"/>
    </row>
    <row r="498">
      <c r="A498" s="431"/>
      <c r="B498" s="504">
        <v>8010.0</v>
      </c>
      <c r="C498" s="519" t="s">
        <v>590</v>
      </c>
      <c r="D498" s="826">
        <v>1.0</v>
      </c>
      <c r="E498" s="731" t="s">
        <v>415</v>
      </c>
      <c r="F498" s="547">
        <v>1.0</v>
      </c>
      <c r="G498" s="799">
        <v>6000.0</v>
      </c>
      <c r="H498" s="496">
        <f t="shared" ref="H498:H507" si="48">D498*F498*G498</f>
        <v>6000</v>
      </c>
      <c r="I498" s="432"/>
    </row>
    <row r="499" ht="13.5" customHeight="1">
      <c r="A499" s="431"/>
      <c r="B499" s="510">
        <v>8020.0</v>
      </c>
      <c r="C499" s="519" t="s">
        <v>591</v>
      </c>
      <c r="D499" s="826">
        <v>2.0</v>
      </c>
      <c r="E499" s="731" t="s">
        <v>415</v>
      </c>
      <c r="F499" s="547">
        <v>1.0</v>
      </c>
      <c r="G499" s="799">
        <v>2500.0</v>
      </c>
      <c r="H499" s="496">
        <f t="shared" si="48"/>
        <v>5000</v>
      </c>
      <c r="I499" s="432"/>
    </row>
    <row r="500" ht="13.5" customHeight="1">
      <c r="A500" s="460"/>
      <c r="B500" s="510">
        <v>8030.0</v>
      </c>
      <c r="C500" s="827" t="s">
        <v>592</v>
      </c>
      <c r="D500" s="826">
        <v>2.0</v>
      </c>
      <c r="E500" s="828" t="s">
        <v>415</v>
      </c>
      <c r="F500" s="547">
        <v>1.0</v>
      </c>
      <c r="G500" s="799">
        <v>500.0</v>
      </c>
      <c r="H500" s="496">
        <f t="shared" si="48"/>
        <v>1000</v>
      </c>
      <c r="I500" s="463"/>
      <c r="J500" s="432"/>
    </row>
    <row r="501" ht="12.75" customHeight="1">
      <c r="A501" s="467"/>
      <c r="B501" s="549">
        <v>8040.0</v>
      </c>
      <c r="C501" s="827" t="s">
        <v>593</v>
      </c>
      <c r="D501" s="826"/>
      <c r="E501" s="828" t="s">
        <v>415</v>
      </c>
      <c r="F501" s="547">
        <v>1.0</v>
      </c>
      <c r="G501" s="799">
        <v>1200.0</v>
      </c>
      <c r="H501" s="496">
        <f t="shared" si="48"/>
        <v>0</v>
      </c>
      <c r="I501" s="435"/>
      <c r="J501" s="829"/>
    </row>
    <row r="502" ht="12.75" customHeight="1">
      <c r="A502" s="467"/>
      <c r="B502" s="549">
        <v>8050.0</v>
      </c>
      <c r="C502" s="827" t="s">
        <v>594</v>
      </c>
      <c r="D502" s="826">
        <v>2.0</v>
      </c>
      <c r="E502" s="830" t="s">
        <v>415</v>
      </c>
      <c r="F502" s="547">
        <v>1.0</v>
      </c>
      <c r="G502" s="831">
        <v>1000.0</v>
      </c>
      <c r="H502" s="496">
        <f t="shared" si="48"/>
        <v>2000</v>
      </c>
      <c r="I502" s="435"/>
      <c r="J502" s="829"/>
    </row>
    <row r="503" ht="13.5" customHeight="1">
      <c r="A503" s="431"/>
      <c r="B503" s="510">
        <v>8060.0</v>
      </c>
      <c r="C503" s="832" t="s">
        <v>595</v>
      </c>
      <c r="D503" s="505"/>
      <c r="E503" s="833" t="s">
        <v>415</v>
      </c>
      <c r="F503" s="547">
        <v>1.0</v>
      </c>
      <c r="G503" s="799">
        <v>1250.0</v>
      </c>
      <c r="H503" s="496">
        <f t="shared" si="48"/>
        <v>0</v>
      </c>
      <c r="I503" s="432"/>
      <c r="J503" s="429"/>
    </row>
    <row r="504" ht="13.5" customHeight="1">
      <c r="A504" s="431"/>
      <c r="B504" s="549">
        <v>8070.0</v>
      </c>
      <c r="C504" s="827" t="s">
        <v>596</v>
      </c>
      <c r="D504" s="834"/>
      <c r="E504" s="835" t="s">
        <v>415</v>
      </c>
      <c r="F504" s="547">
        <v>1.0</v>
      </c>
      <c r="G504" s="836"/>
      <c r="H504" s="496">
        <f t="shared" si="48"/>
        <v>0</v>
      </c>
      <c r="I504" s="426"/>
      <c r="J504" s="548"/>
    </row>
    <row r="505" ht="12.75" customHeight="1">
      <c r="A505" s="467"/>
      <c r="B505" s="510">
        <v>8080.0</v>
      </c>
      <c r="C505" s="675" t="s">
        <v>597</v>
      </c>
      <c r="D505" s="675">
        <v>1.0</v>
      </c>
      <c r="E505" s="725" t="s">
        <v>231</v>
      </c>
      <c r="F505" s="547">
        <v>1.0</v>
      </c>
      <c r="G505" s="799">
        <v>4200.0</v>
      </c>
      <c r="H505" s="496">
        <f t="shared" si="48"/>
        <v>4200</v>
      </c>
      <c r="I505" s="432"/>
      <c r="J505" s="429"/>
    </row>
    <row r="506" ht="12.75" customHeight="1">
      <c r="A506" s="467"/>
      <c r="B506" s="549">
        <v>8085.0</v>
      </c>
      <c r="C506" s="827" t="s">
        <v>473</v>
      </c>
      <c r="D506" s="837">
        <v>1.0</v>
      </c>
      <c r="E506" s="835" t="s">
        <v>233</v>
      </c>
      <c r="F506" s="547">
        <v>1.0</v>
      </c>
      <c r="G506" s="831">
        <v>1000.0</v>
      </c>
      <c r="H506" s="496">
        <f t="shared" si="48"/>
        <v>1000</v>
      </c>
      <c r="I506" s="426"/>
      <c r="J506" s="548"/>
    </row>
    <row r="507" ht="12.75" customHeight="1">
      <c r="A507" s="467"/>
      <c r="B507" s="504">
        <v>8090.0</v>
      </c>
      <c r="C507" s="529" t="s">
        <v>598</v>
      </c>
      <c r="D507" s="509">
        <v>1.0</v>
      </c>
      <c r="E507" s="833" t="s">
        <v>233</v>
      </c>
      <c r="F507" s="547">
        <v>1.0</v>
      </c>
      <c r="G507" s="512">
        <f>MISC</f>
        <v>150</v>
      </c>
      <c r="H507" s="496">
        <f t="shared" si="48"/>
        <v>150</v>
      </c>
      <c r="I507" s="426"/>
      <c r="J507" s="548"/>
    </row>
    <row r="508" ht="12.75" customHeight="1">
      <c r="A508" s="838"/>
      <c r="B508" s="504"/>
      <c r="C508" s="533"/>
      <c r="D508" s="505"/>
      <c r="E508" s="833"/>
      <c r="F508" s="753"/>
      <c r="G508" s="512"/>
      <c r="H508" s="496"/>
      <c r="I508" s="426"/>
      <c r="J508" s="548"/>
    </row>
    <row r="509" ht="12.75" customHeight="1">
      <c r="A509" s="467"/>
      <c r="B509" s="522">
        <v>8100.0</v>
      </c>
      <c r="C509" s="698" t="s">
        <v>599</v>
      </c>
      <c r="D509" s="498"/>
      <c r="E509" s="839"/>
      <c r="F509" s="701"/>
      <c r="G509" s="692"/>
      <c r="H509" s="515">
        <f>sum(H510:H515)</f>
        <v>0</v>
      </c>
      <c r="I509" s="426"/>
      <c r="J509" s="548"/>
    </row>
    <row r="510" ht="12.75" customHeight="1">
      <c r="A510" s="467"/>
      <c r="B510" s="510">
        <v>8110.0</v>
      </c>
      <c r="C510" s="529" t="s">
        <v>600</v>
      </c>
      <c r="D510" s="505"/>
      <c r="E510" s="840" t="s">
        <v>239</v>
      </c>
      <c r="F510" s="547">
        <v>1.0</v>
      </c>
      <c r="G510" s="512"/>
      <c r="H510" s="496">
        <f t="shared" ref="H510:H515" si="49">D510*F510*G510</f>
        <v>0</v>
      </c>
      <c r="I510" s="426"/>
      <c r="J510" s="548"/>
    </row>
    <row r="511" ht="12.75" customHeight="1">
      <c r="A511" s="467"/>
      <c r="B511" s="510">
        <v>8120.0</v>
      </c>
      <c r="C511" s="529" t="s">
        <v>601</v>
      </c>
      <c r="D511" s="505"/>
      <c r="E511" s="840" t="s">
        <v>233</v>
      </c>
      <c r="F511" s="547">
        <v>1.0</v>
      </c>
      <c r="G511" s="512"/>
      <c r="H511" s="496">
        <f t="shared" si="49"/>
        <v>0</v>
      </c>
      <c r="I511" s="426"/>
      <c r="J511" s="548"/>
    </row>
    <row r="512" ht="12.75" customHeight="1">
      <c r="A512" s="467"/>
      <c r="B512" s="510">
        <v>8130.0</v>
      </c>
      <c r="C512" s="529" t="s">
        <v>602</v>
      </c>
      <c r="D512" s="505"/>
      <c r="E512" s="840" t="s">
        <v>233</v>
      </c>
      <c r="F512" s="547">
        <v>1.0</v>
      </c>
      <c r="G512" s="512"/>
      <c r="H512" s="496">
        <f t="shared" si="49"/>
        <v>0</v>
      </c>
      <c r="I512" s="426"/>
      <c r="J512" s="548"/>
    </row>
    <row r="513" ht="12.75" customHeight="1">
      <c r="A513" s="467"/>
      <c r="B513" s="510">
        <v>8140.0</v>
      </c>
      <c r="C513" s="529" t="s">
        <v>603</v>
      </c>
      <c r="D513" s="505"/>
      <c r="E513" s="840" t="s">
        <v>233</v>
      </c>
      <c r="F513" s="547">
        <v>1.0</v>
      </c>
      <c r="G513" s="512"/>
      <c r="H513" s="496">
        <f t="shared" si="49"/>
        <v>0</v>
      </c>
      <c r="I513" s="426"/>
      <c r="J513" s="548"/>
    </row>
    <row r="514" ht="12.75" customHeight="1">
      <c r="A514" s="467"/>
      <c r="B514" s="510">
        <v>8150.0</v>
      </c>
      <c r="C514" s="529" t="s">
        <v>604</v>
      </c>
      <c r="D514" s="505"/>
      <c r="E514" s="840" t="s">
        <v>233</v>
      </c>
      <c r="F514" s="547">
        <v>1.0</v>
      </c>
      <c r="G514" s="512"/>
      <c r="H514" s="496">
        <f t="shared" si="49"/>
        <v>0</v>
      </c>
      <c r="I514" s="426"/>
      <c r="J514" s="548"/>
    </row>
    <row r="515" ht="12.75" customHeight="1">
      <c r="A515" s="467"/>
      <c r="B515" s="510">
        <v>8190.0</v>
      </c>
      <c r="C515" s="529" t="s">
        <v>169</v>
      </c>
      <c r="D515" s="505"/>
      <c r="E515" s="840" t="s">
        <v>233</v>
      </c>
      <c r="F515" s="547">
        <v>1.0</v>
      </c>
      <c r="G515" s="512"/>
      <c r="H515" s="496">
        <f t="shared" si="49"/>
        <v>0</v>
      </c>
      <c r="I515" s="426"/>
      <c r="J515" s="548"/>
    </row>
    <row r="516" ht="13.5" customHeight="1">
      <c r="A516" s="431"/>
      <c r="B516" s="567"/>
      <c r="C516" s="568"/>
      <c r="D516" s="569"/>
      <c r="E516" s="570"/>
      <c r="F516" s="569"/>
      <c r="G516" s="571"/>
      <c r="H516" s="572"/>
      <c r="I516" s="502"/>
      <c r="J516" s="548"/>
    </row>
    <row r="517" ht="13.5" customHeight="1">
      <c r="A517" s="431"/>
      <c r="B517" s="714"/>
      <c r="C517" s="715" t="s">
        <v>296</v>
      </c>
      <c r="D517" s="759"/>
      <c r="E517" s="717"/>
      <c r="F517" s="716"/>
      <c r="G517" s="578"/>
      <c r="H517" s="579">
        <f>SUM(H495:H515)/2</f>
        <v>19350</v>
      </c>
      <c r="I517" s="502"/>
      <c r="J517" s="548"/>
    </row>
    <row r="518" ht="13.5" customHeight="1">
      <c r="A518" s="431"/>
      <c r="B518" s="580"/>
      <c r="C518" s="449"/>
      <c r="D518" s="451"/>
      <c r="E518" s="582"/>
      <c r="F518" s="443"/>
      <c r="G518" s="583"/>
      <c r="H518" s="586"/>
      <c r="I518" s="502"/>
      <c r="J518" s="548"/>
    </row>
    <row r="519" ht="13.5" customHeight="1">
      <c r="A519" s="431"/>
      <c r="B519" s="580"/>
      <c r="C519" s="449"/>
      <c r="D519" s="451"/>
      <c r="E519" s="582"/>
      <c r="F519" s="443"/>
      <c r="G519" s="583"/>
      <c r="H519" s="586"/>
      <c r="I519" s="502"/>
      <c r="J519" s="548"/>
    </row>
    <row r="520" ht="13.5" customHeight="1">
      <c r="A520" s="431"/>
      <c r="B520" s="645"/>
      <c r="C520" s="646" t="s">
        <v>605</v>
      </c>
      <c r="D520" s="613" t="s">
        <v>186</v>
      </c>
      <c r="E520" s="614" t="s">
        <v>187</v>
      </c>
      <c r="F520" s="613" t="s">
        <v>188</v>
      </c>
      <c r="G520" s="423" t="s">
        <v>189</v>
      </c>
      <c r="H520" s="424" t="s">
        <v>190</v>
      </c>
      <c r="I520" s="502"/>
      <c r="J520" s="548"/>
    </row>
    <row r="521" ht="13.5" customHeight="1">
      <c r="A521" s="431"/>
      <c r="B521" s="580"/>
      <c r="C521" s="762"/>
      <c r="D521" s="763"/>
      <c r="E521" s="617"/>
      <c r="F521" s="616"/>
      <c r="G521" s="618"/>
      <c r="H521" s="619"/>
      <c r="I521" s="502"/>
      <c r="J521" s="548"/>
    </row>
    <row r="522" ht="13.5" customHeight="1">
      <c r="A522" s="431"/>
      <c r="B522" s="597">
        <v>9000.0</v>
      </c>
      <c r="C522" s="766" t="s">
        <v>606</v>
      </c>
      <c r="D522" s="841"/>
      <c r="E522" s="842"/>
      <c r="F522" s="843"/>
      <c r="G522" s="844"/>
      <c r="H522" s="653">
        <f>SUM(H523:H536)</f>
        <v>66115.17321</v>
      </c>
      <c r="I522" s="845">
        <f>H522/$H$637</f>
        <v>0.05140421181</v>
      </c>
    </row>
    <row r="523" ht="13.5" customHeight="1">
      <c r="A523" s="431"/>
      <c r="B523" s="490">
        <v>9010.0</v>
      </c>
      <c r="C523" s="519" t="s">
        <v>607</v>
      </c>
      <c r="D523" s="846">
        <f>TOTAL_MONTHS</f>
        <v>24.01847575</v>
      </c>
      <c r="E523" s="847" t="s">
        <v>112</v>
      </c>
      <c r="F523" s="848">
        <v>1.0</v>
      </c>
      <c r="G523" s="849">
        <v>180.0</v>
      </c>
      <c r="H523" s="496">
        <f t="shared" ref="H523:H536" si="50">D523*F523*G523</f>
        <v>4323.325635</v>
      </c>
      <c r="I523" s="850"/>
      <c r="J523" s="548"/>
    </row>
    <row r="524" ht="13.5" customHeight="1">
      <c r="A524" s="431"/>
      <c r="B524" s="490">
        <v>9015.0</v>
      </c>
      <c r="C524" s="519" t="s">
        <v>608</v>
      </c>
      <c r="D524" s="846"/>
      <c r="E524" s="847" t="s">
        <v>233</v>
      </c>
      <c r="F524" s="848">
        <v>1.0</v>
      </c>
      <c r="G524" s="849">
        <v>2500.0</v>
      </c>
      <c r="H524" s="496">
        <f t="shared" si="50"/>
        <v>0</v>
      </c>
      <c r="I524" s="502"/>
      <c r="J524" s="548"/>
    </row>
    <row r="525" ht="13.5" customHeight="1">
      <c r="A525" s="431"/>
      <c r="B525" s="490">
        <v>9020.0</v>
      </c>
      <c r="C525" s="519" t="s">
        <v>609</v>
      </c>
      <c r="D525" s="846">
        <f>TOTAL_MONTHS</f>
        <v>24.01847575</v>
      </c>
      <c r="E525" s="847" t="s">
        <v>112</v>
      </c>
      <c r="F525" s="848">
        <v>7.0</v>
      </c>
      <c r="G525" s="849">
        <v>14.0</v>
      </c>
      <c r="H525" s="496">
        <f t="shared" si="50"/>
        <v>2353.810624</v>
      </c>
      <c r="J525" s="548"/>
    </row>
    <row r="526" ht="13.5" customHeight="1">
      <c r="A526" s="431"/>
      <c r="B526" s="510">
        <v>9030.0</v>
      </c>
      <c r="C526" s="519" t="s">
        <v>610</v>
      </c>
      <c r="D526" s="846">
        <f>TOTAL_MONTHS</f>
        <v>24.01847575</v>
      </c>
      <c r="E526" s="725" t="s">
        <v>112</v>
      </c>
      <c r="F526" s="547">
        <v>1.0</v>
      </c>
      <c r="G526" s="799">
        <v>45.0</v>
      </c>
      <c r="H526" s="496">
        <f t="shared" si="50"/>
        <v>1080.831409</v>
      </c>
      <c r="I526" s="502"/>
      <c r="J526" s="548"/>
    </row>
    <row r="527" ht="13.5" customHeight="1">
      <c r="A527" s="431"/>
      <c r="B527" s="510">
        <v>9040.0</v>
      </c>
      <c r="C527" s="675" t="s">
        <v>611</v>
      </c>
      <c r="D527" s="846">
        <f>TOTAL_MONTHS</f>
        <v>24.01847575</v>
      </c>
      <c r="E527" s="725" t="s">
        <v>112</v>
      </c>
      <c r="F527" s="547">
        <v>1.0</v>
      </c>
      <c r="G527" s="799">
        <v>12.0</v>
      </c>
      <c r="H527" s="496">
        <f t="shared" si="50"/>
        <v>288.221709</v>
      </c>
      <c r="I527" s="502"/>
      <c r="J527" s="548"/>
    </row>
    <row r="528" ht="13.5" customHeight="1">
      <c r="A528" s="431"/>
      <c r="B528" s="510">
        <v>9050.0</v>
      </c>
      <c r="C528" s="519" t="s">
        <v>612</v>
      </c>
      <c r="D528" s="846">
        <f>TOTAL_MONTHS</f>
        <v>24.01847575</v>
      </c>
      <c r="E528" s="725" t="s">
        <v>112</v>
      </c>
      <c r="F528" s="547">
        <v>1.0</v>
      </c>
      <c r="G528" s="799">
        <v>90.0</v>
      </c>
      <c r="H528" s="496">
        <f t="shared" si="50"/>
        <v>2161.662818</v>
      </c>
      <c r="I528" s="502"/>
      <c r="J528" s="548"/>
    </row>
    <row r="529" ht="13.5" customHeight="1">
      <c r="A529" s="467"/>
      <c r="B529" s="510">
        <v>9060.0</v>
      </c>
      <c r="C529" s="519" t="s">
        <v>613</v>
      </c>
      <c r="D529" s="846">
        <f>TOTAL_MONTHS</f>
        <v>24.01847575</v>
      </c>
      <c r="E529" s="725" t="s">
        <v>112</v>
      </c>
      <c r="F529" s="547">
        <v>1.0</v>
      </c>
      <c r="G529" s="799">
        <v>180.0</v>
      </c>
      <c r="H529" s="496">
        <f t="shared" si="50"/>
        <v>4323.325635</v>
      </c>
      <c r="I529" s="502"/>
      <c r="J529" s="548"/>
    </row>
    <row r="530" ht="13.5" customHeight="1">
      <c r="A530" s="431"/>
      <c r="B530" s="510">
        <v>9070.0</v>
      </c>
      <c r="C530" s="519" t="s">
        <v>614</v>
      </c>
      <c r="D530" s="846">
        <f>TOTAL_MONTHS</f>
        <v>24.01847575</v>
      </c>
      <c r="E530" s="725" t="s">
        <v>112</v>
      </c>
      <c r="F530" s="547">
        <v>1.0</v>
      </c>
      <c r="G530" s="799">
        <v>1500.0</v>
      </c>
      <c r="H530" s="496">
        <f t="shared" si="50"/>
        <v>36027.71363</v>
      </c>
      <c r="I530" s="502"/>
    </row>
    <row r="531" ht="13.5" customHeight="1">
      <c r="A531" s="431"/>
      <c r="B531" s="510">
        <v>9071.0</v>
      </c>
      <c r="C531" s="519" t="s">
        <v>615</v>
      </c>
      <c r="D531" s="846">
        <f>TOTAL_MONTHS</f>
        <v>24.01847575</v>
      </c>
      <c r="E531" s="725" t="s">
        <v>112</v>
      </c>
      <c r="F531" s="556">
        <v>3.0</v>
      </c>
      <c r="G531" s="799">
        <v>25.0</v>
      </c>
      <c r="H531" s="496">
        <f t="shared" si="50"/>
        <v>1801.385681</v>
      </c>
      <c r="I531" s="502"/>
      <c r="J531" s="548"/>
    </row>
    <row r="532" ht="13.5" customHeight="1">
      <c r="A532" s="431"/>
      <c r="B532" s="510">
        <v>9072.0</v>
      </c>
      <c r="C532" s="519" t="s">
        <v>616</v>
      </c>
      <c r="D532" s="846">
        <f>TOTAL_MONTHS</f>
        <v>24.01847575</v>
      </c>
      <c r="E532" s="725" t="s">
        <v>112</v>
      </c>
      <c r="F532" s="547">
        <v>1.0</v>
      </c>
      <c r="G532" s="799">
        <v>200.0</v>
      </c>
      <c r="H532" s="496">
        <f t="shared" si="50"/>
        <v>4803.69515</v>
      </c>
      <c r="I532" s="502"/>
      <c r="J532" s="548"/>
    </row>
    <row r="533" ht="13.5" customHeight="1">
      <c r="A533" s="431"/>
      <c r="B533" s="510">
        <v>9073.0</v>
      </c>
      <c r="C533" s="519" t="s">
        <v>617</v>
      </c>
      <c r="D533" s="846">
        <f>TOTAL_MONTHS</f>
        <v>24.01847575</v>
      </c>
      <c r="E533" s="725" t="s">
        <v>112</v>
      </c>
      <c r="F533" s="547">
        <v>1.0</v>
      </c>
      <c r="G533" s="799">
        <v>65.0</v>
      </c>
      <c r="H533" s="496">
        <f t="shared" si="50"/>
        <v>1561.200924</v>
      </c>
      <c r="I533" s="502"/>
      <c r="J533" s="548"/>
    </row>
    <row r="534" ht="13.5" customHeight="1">
      <c r="A534" s="431"/>
      <c r="B534" s="510">
        <v>9074.0</v>
      </c>
      <c r="C534" s="519" t="s">
        <v>618</v>
      </c>
      <c r="D534" s="846">
        <f>TOTAL_MONTHS</f>
        <v>24.01847575</v>
      </c>
      <c r="E534" s="725" t="s">
        <v>112</v>
      </c>
      <c r="F534" s="547">
        <v>1.0</v>
      </c>
      <c r="G534" s="799">
        <f>60*4.33</f>
        <v>259.8</v>
      </c>
      <c r="H534" s="496">
        <f t="shared" si="50"/>
        <v>6240</v>
      </c>
      <c r="I534" s="502"/>
      <c r="J534" s="548"/>
    </row>
    <row r="535">
      <c r="A535" s="688"/>
      <c r="B535" s="510">
        <v>9080.0</v>
      </c>
      <c r="C535" s="509" t="s">
        <v>619</v>
      </c>
      <c r="D535" s="505">
        <v>1.0</v>
      </c>
      <c r="E535" s="725" t="s">
        <v>233</v>
      </c>
      <c r="F535" s="547">
        <v>1.0</v>
      </c>
      <c r="G535" s="508">
        <v>1000.0</v>
      </c>
      <c r="H535" s="496">
        <f t="shared" si="50"/>
        <v>1000</v>
      </c>
      <c r="I535" s="502"/>
      <c r="J535" s="548"/>
    </row>
    <row r="536" ht="13.5" customHeight="1">
      <c r="A536" s="431"/>
      <c r="B536" s="504">
        <v>9090.0</v>
      </c>
      <c r="C536" s="675" t="s">
        <v>169</v>
      </c>
      <c r="D536" s="675">
        <v>1.0</v>
      </c>
      <c r="E536" s="725" t="s">
        <v>233</v>
      </c>
      <c r="F536" s="547">
        <v>1.0</v>
      </c>
      <c r="G536" s="754">
        <f>MISC</f>
        <v>150</v>
      </c>
      <c r="H536" s="496">
        <f t="shared" si="50"/>
        <v>150</v>
      </c>
      <c r="I536" s="502"/>
      <c r="J536" s="548"/>
    </row>
    <row r="537" ht="13.5" customHeight="1">
      <c r="A537" s="431"/>
      <c r="B537" s="504"/>
      <c r="C537" s="675"/>
      <c r="D537" s="675"/>
      <c r="E537" s="725"/>
      <c r="F537" s="556"/>
      <c r="G537" s="754"/>
      <c r="H537" s="851"/>
      <c r="I537" s="502"/>
      <c r="J537" s="548"/>
    </row>
    <row r="538" ht="13.5" customHeight="1">
      <c r="A538" s="431"/>
      <c r="B538" s="522">
        <v>9100.0</v>
      </c>
      <c r="C538" s="766" t="s">
        <v>620</v>
      </c>
      <c r="D538" s="766"/>
      <c r="E538" s="744"/>
      <c r="F538" s="745"/>
      <c r="G538" s="767"/>
      <c r="H538" s="693">
        <f>SUM(H539:H549)</f>
        <v>35806.45497</v>
      </c>
      <c r="I538" s="502"/>
      <c r="J538" s="548"/>
    </row>
    <row r="539" ht="14.25" customHeight="1">
      <c r="B539" s="510">
        <v>9110.0</v>
      </c>
      <c r="C539" s="519" t="s">
        <v>621</v>
      </c>
      <c r="D539" s="675">
        <v>1.0</v>
      </c>
      <c r="E539" s="725" t="s">
        <v>233</v>
      </c>
      <c r="F539" s="547">
        <v>1.0</v>
      </c>
      <c r="G539" s="799">
        <v>15000.0</v>
      </c>
      <c r="H539" s="496">
        <f t="shared" ref="H539:H549" si="51">D539*F539*G539</f>
        <v>15000</v>
      </c>
      <c r="I539" s="852">
        <f>H539/$H$637</f>
        <v>0.01166242391</v>
      </c>
    </row>
    <row r="540" ht="13.5" customHeight="1">
      <c r="A540" s="431"/>
      <c r="B540" s="510">
        <v>9120.0</v>
      </c>
      <c r="C540" s="675" t="s">
        <v>622</v>
      </c>
      <c r="D540" s="519">
        <v>50.0</v>
      </c>
      <c r="E540" s="725" t="s">
        <v>310</v>
      </c>
      <c r="F540" s="547">
        <v>1.0</v>
      </c>
      <c r="G540" s="754">
        <v>50.0</v>
      </c>
      <c r="H540" s="496">
        <f t="shared" si="51"/>
        <v>2500</v>
      </c>
      <c r="I540" s="502"/>
      <c r="J540" s="548"/>
    </row>
    <row r="541" ht="13.5" customHeight="1">
      <c r="A541" s="431"/>
      <c r="B541" s="490">
        <v>9130.0</v>
      </c>
      <c r="C541" s="492" t="s">
        <v>623</v>
      </c>
      <c r="D541" s="492">
        <v>1.0</v>
      </c>
      <c r="E541" s="493" t="s">
        <v>231</v>
      </c>
      <c r="F541" s="547">
        <v>1.0</v>
      </c>
      <c r="G541" s="495">
        <v>400.0</v>
      </c>
      <c r="H541" s="496">
        <f t="shared" si="51"/>
        <v>400</v>
      </c>
      <c r="I541" s="432"/>
      <c r="J541" s="429"/>
    </row>
    <row r="542" ht="13.5" customHeight="1">
      <c r="A542" s="431"/>
      <c r="B542" s="510">
        <v>9140.0</v>
      </c>
      <c r="C542" s="675" t="s">
        <v>624</v>
      </c>
      <c r="D542" s="846">
        <f>TOTAL_MONTHS</f>
        <v>24.01847575</v>
      </c>
      <c r="E542" s="725" t="s">
        <v>112</v>
      </c>
      <c r="F542" s="547">
        <v>1.0</v>
      </c>
      <c r="G542" s="799">
        <v>600.0</v>
      </c>
      <c r="H542" s="496">
        <f t="shared" si="51"/>
        <v>14411.08545</v>
      </c>
      <c r="I542" s="502"/>
    </row>
    <row r="543" ht="13.5" customHeight="1">
      <c r="A543" s="431"/>
      <c r="B543" s="549">
        <v>9141.0</v>
      </c>
      <c r="C543" s="837" t="s">
        <v>625</v>
      </c>
      <c r="D543" s="837">
        <v>1.0</v>
      </c>
      <c r="E543" s="853" t="s">
        <v>233</v>
      </c>
      <c r="F543" s="547">
        <v>1.0</v>
      </c>
      <c r="G543" s="831">
        <v>500.0</v>
      </c>
      <c r="H543" s="496">
        <f t="shared" si="51"/>
        <v>500</v>
      </c>
      <c r="I543" s="502"/>
      <c r="J543" s="548"/>
    </row>
    <row r="544" ht="13.5" customHeight="1">
      <c r="A544" s="431"/>
      <c r="B544" s="549">
        <v>9142.0</v>
      </c>
      <c r="C544" s="837" t="s">
        <v>626</v>
      </c>
      <c r="D544" s="834">
        <v>2.0</v>
      </c>
      <c r="E544" s="854" t="s">
        <v>503</v>
      </c>
      <c r="F544" s="547">
        <v>1.0</v>
      </c>
      <c r="G544" s="831">
        <v>1200.0</v>
      </c>
      <c r="H544" s="496">
        <f t="shared" si="51"/>
        <v>2400</v>
      </c>
      <c r="I544" s="502"/>
      <c r="J544" s="548"/>
    </row>
    <row r="545" ht="13.5" customHeight="1">
      <c r="A545" s="431"/>
      <c r="B545" s="549">
        <v>9143.0</v>
      </c>
      <c r="C545" s="837" t="s">
        <v>627</v>
      </c>
      <c r="D545" s="834">
        <v>2.0</v>
      </c>
      <c r="E545" s="854" t="s">
        <v>503</v>
      </c>
      <c r="F545" s="547">
        <v>1.0</v>
      </c>
      <c r="G545" s="831">
        <v>25.0</v>
      </c>
      <c r="H545" s="496">
        <f t="shared" si="51"/>
        <v>50</v>
      </c>
      <c r="I545" s="502"/>
      <c r="J545" s="548"/>
    </row>
    <row r="546" ht="12.75" customHeight="1">
      <c r="A546" s="431"/>
      <c r="B546" s="549">
        <v>9150.0</v>
      </c>
      <c r="C546" s="834" t="s">
        <v>628</v>
      </c>
      <c r="D546" s="834">
        <v>1.0</v>
      </c>
      <c r="E546" s="854" t="s">
        <v>233</v>
      </c>
      <c r="F546" s="547">
        <v>1.0</v>
      </c>
      <c r="G546" s="831">
        <v>65.0</v>
      </c>
      <c r="H546" s="496">
        <f t="shared" si="51"/>
        <v>65</v>
      </c>
      <c r="I546" s="502"/>
      <c r="J546" s="548"/>
    </row>
    <row r="547" ht="13.5" customHeight="1">
      <c r="A547" s="431"/>
      <c r="B547" s="549">
        <v>9160.0</v>
      </c>
      <c r="C547" s="834" t="s">
        <v>629</v>
      </c>
      <c r="D547" s="834"/>
      <c r="E547" s="854" t="s">
        <v>233</v>
      </c>
      <c r="F547" s="547">
        <v>1.0</v>
      </c>
      <c r="G547" s="836">
        <v>5000.0</v>
      </c>
      <c r="H547" s="496">
        <f t="shared" si="51"/>
        <v>0</v>
      </c>
      <c r="I547" s="502"/>
      <c r="J547" s="548"/>
    </row>
    <row r="548" ht="13.5" customHeight="1">
      <c r="A548" s="431"/>
      <c r="B548" s="549">
        <v>9170.0</v>
      </c>
      <c r="C548" s="834" t="s">
        <v>630</v>
      </c>
      <c r="D548" s="834"/>
      <c r="E548" s="854" t="s">
        <v>233</v>
      </c>
      <c r="F548" s="547">
        <v>1.0</v>
      </c>
      <c r="G548" s="836">
        <v>0.0</v>
      </c>
      <c r="H548" s="496">
        <f t="shared" si="51"/>
        <v>0</v>
      </c>
      <c r="I548" s="502"/>
      <c r="J548" s="548"/>
    </row>
    <row r="549" ht="13.5" customHeight="1">
      <c r="A549" s="431"/>
      <c r="B549" s="549">
        <v>9175.0</v>
      </c>
      <c r="C549" s="837" t="s">
        <v>631</v>
      </c>
      <c r="D549" s="846">
        <f>TOTAL_MONTHS</f>
        <v>24.01847575</v>
      </c>
      <c r="E549" s="853" t="s">
        <v>112</v>
      </c>
      <c r="F549" s="547">
        <v>1.0</v>
      </c>
      <c r="G549" s="831">
        <v>20.0</v>
      </c>
      <c r="H549" s="496">
        <f t="shared" si="51"/>
        <v>480.369515</v>
      </c>
      <c r="I549" s="502"/>
      <c r="J549" s="548"/>
    </row>
    <row r="550" ht="13.5" customHeight="1">
      <c r="A550" s="431"/>
      <c r="B550" s="567"/>
      <c r="C550" s="568"/>
      <c r="D550" s="569"/>
      <c r="E550" s="570"/>
      <c r="F550" s="569"/>
      <c r="G550" s="571"/>
      <c r="H550" s="572"/>
      <c r="I550" s="502"/>
      <c r="J550" s="548"/>
    </row>
    <row r="551" ht="13.5" customHeight="1">
      <c r="A551" s="431"/>
      <c r="B551" s="573"/>
      <c r="C551" s="715" t="s">
        <v>296</v>
      </c>
      <c r="D551" s="769"/>
      <c r="E551" s="576"/>
      <c r="F551" s="577"/>
      <c r="G551" s="578"/>
      <c r="H551" s="579">
        <f>SUM(H520:H549)/2</f>
        <v>101921.6282</v>
      </c>
      <c r="I551" s="502"/>
      <c r="J551" s="548"/>
    </row>
    <row r="552" ht="13.5" customHeight="1">
      <c r="A552" s="431"/>
      <c r="B552" s="633"/>
      <c r="C552" s="634"/>
      <c r="D552" s="435"/>
      <c r="E552" s="635"/>
      <c r="F552" s="435"/>
      <c r="G552" s="583"/>
      <c r="H552" s="586"/>
      <c r="I552" s="499"/>
      <c r="J552" s="500"/>
    </row>
    <row r="553" ht="13.5" customHeight="1">
      <c r="A553" s="636"/>
      <c r="B553" s="855" t="s">
        <v>632</v>
      </c>
      <c r="C553" s="856" t="s">
        <v>633</v>
      </c>
      <c r="D553" s="642"/>
      <c r="E553" s="857"/>
      <c r="F553" s="858"/>
      <c r="G553" s="642"/>
      <c r="H553" s="643">
        <f>sum(H141:H551)/3</f>
        <v>879900.6866</v>
      </c>
      <c r="I553" s="500"/>
      <c r="J553" s="500"/>
    </row>
    <row r="554" ht="13.5" customHeight="1">
      <c r="A554" s="431"/>
      <c r="B554" s="634"/>
      <c r="C554" s="634"/>
      <c r="D554" s="760"/>
      <c r="E554" s="582"/>
      <c r="F554" s="443"/>
      <c r="G554" s="583"/>
      <c r="H554" s="859"/>
      <c r="I554" s="502"/>
      <c r="J554" s="548"/>
    </row>
    <row r="555" ht="13.5" customHeight="1">
      <c r="A555" s="431"/>
      <c r="B555" s="860"/>
      <c r="C555" s="861"/>
      <c r="D555" s="861"/>
      <c r="E555" s="862"/>
      <c r="F555" s="863"/>
      <c r="G555" s="864"/>
      <c r="H555" s="864"/>
      <c r="J555" s="548"/>
    </row>
    <row r="556">
      <c r="A556" s="431"/>
      <c r="B556" s="645"/>
      <c r="C556" s="612" t="s">
        <v>634</v>
      </c>
      <c r="D556" s="613" t="s">
        <v>186</v>
      </c>
      <c r="E556" s="614" t="s">
        <v>187</v>
      </c>
      <c r="F556" s="613" t="s">
        <v>188</v>
      </c>
      <c r="G556" s="423" t="s">
        <v>189</v>
      </c>
      <c r="H556" s="424" t="s">
        <v>190</v>
      </c>
      <c r="I556" s="502"/>
      <c r="J556" s="548"/>
    </row>
    <row r="557" ht="13.5" customHeight="1">
      <c r="A557" s="431"/>
      <c r="B557" s="592"/>
      <c r="C557" s="762"/>
      <c r="D557" s="763"/>
      <c r="E557" s="617"/>
      <c r="F557" s="616"/>
      <c r="G557" s="618"/>
      <c r="H557" s="619"/>
      <c r="I557" s="502"/>
      <c r="J557" s="548"/>
    </row>
    <row r="558" ht="13.5" customHeight="1">
      <c r="A558" s="431"/>
      <c r="B558" s="865">
        <v>10000.0</v>
      </c>
      <c r="C558" s="751" t="s">
        <v>635</v>
      </c>
      <c r="D558" s="498"/>
      <c r="E558" s="806"/>
      <c r="F558" s="691"/>
      <c r="G558" s="692"/>
      <c r="H558" s="693">
        <f>SUM(H559:H572)</f>
        <v>17290</v>
      </c>
      <c r="I558" s="502"/>
      <c r="J558" s="548"/>
    </row>
    <row r="559" ht="13.5" customHeight="1">
      <c r="A559" s="431"/>
      <c r="B559" s="510">
        <v>10010.0</v>
      </c>
      <c r="C559" s="519" t="s">
        <v>636</v>
      </c>
      <c r="D559" s="675">
        <v>1.0</v>
      </c>
      <c r="E559" s="725" t="s">
        <v>231</v>
      </c>
      <c r="F559" s="547">
        <v>1.0</v>
      </c>
      <c r="G559" s="799">
        <v>4000.0</v>
      </c>
      <c r="H559" s="496">
        <f t="shared" ref="H559:H565" si="52">D559*F559*G559</f>
        <v>4000</v>
      </c>
      <c r="I559" s="502"/>
      <c r="J559" s="548"/>
    </row>
    <row r="560" ht="13.5" customHeight="1">
      <c r="A560" s="431"/>
      <c r="B560" s="510">
        <v>10020.0</v>
      </c>
      <c r="C560" s="675" t="s">
        <v>637</v>
      </c>
      <c r="D560" s="519">
        <v>100.0</v>
      </c>
      <c r="E560" s="725" t="s">
        <v>638</v>
      </c>
      <c r="F560" s="547">
        <v>1.0</v>
      </c>
      <c r="G560" s="866">
        <v>1.5</v>
      </c>
      <c r="H560" s="496">
        <f t="shared" si="52"/>
        <v>150</v>
      </c>
      <c r="I560" s="502"/>
      <c r="J560" s="548"/>
    </row>
    <row r="561" ht="13.5" customHeight="1">
      <c r="A561" s="431"/>
      <c r="B561" s="510">
        <v>10030.0</v>
      </c>
      <c r="C561" s="675" t="s">
        <v>639</v>
      </c>
      <c r="D561" s="519">
        <v>3000.0</v>
      </c>
      <c r="E561" s="725" t="s">
        <v>638</v>
      </c>
      <c r="F561" s="547">
        <v>1.0</v>
      </c>
      <c r="G561" s="867">
        <v>0.04</v>
      </c>
      <c r="H561" s="496">
        <f t="shared" si="52"/>
        <v>120</v>
      </c>
      <c r="I561" s="502"/>
      <c r="J561" s="548"/>
    </row>
    <row r="562" ht="13.5" customHeight="1">
      <c r="A562" s="431"/>
      <c r="B562" s="510">
        <v>10040.0</v>
      </c>
      <c r="C562" s="519" t="s">
        <v>640</v>
      </c>
      <c r="D562" s="675"/>
      <c r="E562" s="725" t="s">
        <v>233</v>
      </c>
      <c r="F562" s="547">
        <v>1.0</v>
      </c>
      <c r="G562" s="799">
        <f>1000-180-180-75</f>
        <v>565</v>
      </c>
      <c r="H562" s="496">
        <f t="shared" si="52"/>
        <v>0</v>
      </c>
      <c r="I562" s="502"/>
      <c r="J562" s="548"/>
    </row>
    <row r="563" ht="13.5" customHeight="1">
      <c r="A563" s="431"/>
      <c r="B563" s="510">
        <v>10050.0</v>
      </c>
      <c r="C563" s="519" t="s">
        <v>641</v>
      </c>
      <c r="D563" s="519">
        <v>2.0</v>
      </c>
      <c r="E563" s="731" t="s">
        <v>196</v>
      </c>
      <c r="F563" s="547">
        <v>1.0</v>
      </c>
      <c r="G563" s="799">
        <v>3000.0</v>
      </c>
      <c r="H563" s="496">
        <f t="shared" si="52"/>
        <v>6000</v>
      </c>
      <c r="I563" s="502"/>
      <c r="J563" s="548"/>
    </row>
    <row r="564" ht="13.5" customHeight="1">
      <c r="A564" s="431"/>
      <c r="B564" s="510">
        <v>10060.0</v>
      </c>
      <c r="C564" s="519" t="s">
        <v>642</v>
      </c>
      <c r="D564" s="519">
        <v>1.0</v>
      </c>
      <c r="E564" s="731" t="s">
        <v>233</v>
      </c>
      <c r="F564" s="547">
        <v>1.0</v>
      </c>
      <c r="G564" s="799">
        <v>2000.0</v>
      </c>
      <c r="H564" s="496">
        <f t="shared" si="52"/>
        <v>2000</v>
      </c>
      <c r="I564" s="502"/>
      <c r="J564" s="548"/>
    </row>
    <row r="565" ht="13.5" customHeight="1">
      <c r="A565" s="409"/>
      <c r="B565" s="621">
        <v>10070.0</v>
      </c>
      <c r="C565" s="868" t="s">
        <v>643</v>
      </c>
      <c r="D565" s="868">
        <v>1.0</v>
      </c>
      <c r="E565" s="747" t="s">
        <v>233</v>
      </c>
      <c r="F565" s="748">
        <v>1.0</v>
      </c>
      <c r="G565" s="869">
        <v>4000.0</v>
      </c>
      <c r="H565" s="687">
        <f t="shared" si="52"/>
        <v>4000</v>
      </c>
      <c r="I565" s="626"/>
      <c r="J565" s="548"/>
    </row>
    <row r="566" ht="13.5" customHeight="1">
      <c r="B566" s="510">
        <v>10080.0</v>
      </c>
      <c r="C566" s="519" t="s">
        <v>644</v>
      </c>
      <c r="D566" s="870"/>
      <c r="E566" s="871"/>
      <c r="F566" s="872"/>
      <c r="G566" s="873"/>
      <c r="H566" s="874"/>
      <c r="I566" s="467"/>
      <c r="J566" s="548"/>
    </row>
    <row r="567" ht="13.5" customHeight="1">
      <c r="B567" s="510"/>
      <c r="C567" s="546" t="s">
        <v>645</v>
      </c>
      <c r="D567" s="519">
        <v>10.0</v>
      </c>
      <c r="E567" s="725" t="s">
        <v>287</v>
      </c>
      <c r="F567" s="547">
        <v>1.0</v>
      </c>
      <c r="G567" s="754">
        <v>12.0</v>
      </c>
      <c r="H567" s="496">
        <f t="shared" ref="H567:H572" si="53">D567*F567*G567</f>
        <v>120</v>
      </c>
      <c r="I567" s="467"/>
      <c r="J567" s="548"/>
    </row>
    <row r="568" ht="13.5" customHeight="1">
      <c r="A568" s="664"/>
      <c r="B568" s="510"/>
      <c r="C568" s="875" t="s">
        <v>646</v>
      </c>
      <c r="D568" s="509">
        <v>10.0</v>
      </c>
      <c r="E568" s="511" t="s">
        <v>287</v>
      </c>
      <c r="F568" s="547">
        <v>1.0</v>
      </c>
      <c r="G568" s="508">
        <v>15.0</v>
      </c>
      <c r="H568" s="496">
        <f t="shared" si="53"/>
        <v>150</v>
      </c>
      <c r="I568" s="467"/>
      <c r="J568" s="548"/>
    </row>
    <row r="569" ht="13.5" customHeight="1">
      <c r="A569" s="664"/>
      <c r="B569" s="549"/>
      <c r="C569" s="876" t="s">
        <v>647</v>
      </c>
      <c r="D569" s="509">
        <v>10.0</v>
      </c>
      <c r="E569" s="511" t="s">
        <v>287</v>
      </c>
      <c r="F569" s="547">
        <v>1.0</v>
      </c>
      <c r="G569" s="551">
        <v>45.0</v>
      </c>
      <c r="H569" s="496">
        <f t="shared" si="53"/>
        <v>450</v>
      </c>
      <c r="I569" s="552"/>
      <c r="J569" s="429"/>
    </row>
    <row r="570" ht="13.5" customHeight="1">
      <c r="A570" s="664"/>
      <c r="B570" s="549"/>
      <c r="C570" s="550" t="s">
        <v>648</v>
      </c>
      <c r="D570" s="509"/>
      <c r="E570" s="511" t="s">
        <v>233</v>
      </c>
      <c r="F570" s="547">
        <v>1.0</v>
      </c>
      <c r="G570" s="551">
        <v>800.0</v>
      </c>
      <c r="H570" s="496">
        <f t="shared" si="53"/>
        <v>0</v>
      </c>
      <c r="I570" s="552"/>
      <c r="J570" s="429"/>
    </row>
    <row r="571" ht="13.5" customHeight="1">
      <c r="A571" s="664"/>
      <c r="B571" s="549"/>
      <c r="C571" s="877" t="s">
        <v>649</v>
      </c>
      <c r="D571" s="509">
        <v>1.0</v>
      </c>
      <c r="E571" s="511" t="s">
        <v>233</v>
      </c>
      <c r="F571" s="547">
        <v>1.0</v>
      </c>
      <c r="G571" s="551">
        <v>300.0</v>
      </c>
      <c r="H571" s="496">
        <f t="shared" si="53"/>
        <v>300</v>
      </c>
      <c r="I571" s="552"/>
      <c r="J571" s="429"/>
    </row>
    <row r="572" ht="13.5" customHeight="1">
      <c r="B572" s="510">
        <v>10090.0</v>
      </c>
      <c r="C572" s="519" t="s">
        <v>650</v>
      </c>
      <c r="D572" s="519"/>
      <c r="E572" s="731" t="s">
        <v>233</v>
      </c>
      <c r="F572" s="547">
        <v>1.0</v>
      </c>
      <c r="G572" s="799">
        <f>MISC</f>
        <v>150</v>
      </c>
      <c r="H572" s="496">
        <f t="shared" si="53"/>
        <v>0</v>
      </c>
      <c r="I572" s="502"/>
      <c r="J572" s="548"/>
    </row>
    <row r="573" ht="13.5" customHeight="1">
      <c r="B573" s="504"/>
      <c r="C573" s="505"/>
      <c r="D573" s="505"/>
      <c r="E573" s="725"/>
      <c r="F573" s="556"/>
      <c r="G573" s="754"/>
      <c r="H573" s="683"/>
      <c r="I573" s="502"/>
      <c r="J573" s="548"/>
    </row>
    <row r="574" ht="13.5" customHeight="1">
      <c r="A574" s="431"/>
      <c r="B574" s="522">
        <v>10100.0</v>
      </c>
      <c r="C574" s="679" t="s">
        <v>651</v>
      </c>
      <c r="D574" s="766"/>
      <c r="E574" s="744"/>
      <c r="F574" s="745"/>
      <c r="G574" s="767"/>
      <c r="H574" s="693">
        <f>SUM(H575:H578)</f>
        <v>10000</v>
      </c>
      <c r="I574" s="502"/>
      <c r="J574" s="548"/>
    </row>
    <row r="575" ht="13.5" customHeight="1">
      <c r="A575" s="431"/>
      <c r="B575" s="510">
        <v>10110.0</v>
      </c>
      <c r="C575" s="675" t="s">
        <v>652</v>
      </c>
      <c r="D575" s="675">
        <v>1.0</v>
      </c>
      <c r="E575" s="725" t="s">
        <v>233</v>
      </c>
      <c r="F575" s="547">
        <v>1.0</v>
      </c>
      <c r="G575" s="799">
        <v>10000.0</v>
      </c>
      <c r="H575" s="496">
        <f t="shared" ref="H575:H578" si="54">D575*F575*G575</f>
        <v>10000</v>
      </c>
      <c r="I575" s="502"/>
      <c r="J575" s="548"/>
    </row>
    <row r="576" ht="13.5" customHeight="1">
      <c r="A576" s="431"/>
      <c r="B576" s="510">
        <v>10120.0</v>
      </c>
      <c r="C576" s="519" t="s">
        <v>653</v>
      </c>
      <c r="D576" s="675"/>
      <c r="E576" s="731" t="s">
        <v>112</v>
      </c>
      <c r="F576" s="547">
        <v>1.0</v>
      </c>
      <c r="G576" s="799">
        <v>2000.0</v>
      </c>
      <c r="H576" s="496">
        <f t="shared" si="54"/>
        <v>0</v>
      </c>
      <c r="I576" s="502"/>
      <c r="J576" s="548"/>
    </row>
    <row r="577" ht="13.5" customHeight="1">
      <c r="A577" s="664"/>
      <c r="B577" s="510">
        <v>10130.0</v>
      </c>
      <c r="C577" s="671" t="s">
        <v>326</v>
      </c>
      <c r="D577" s="509"/>
      <c r="E577" s="670" t="s">
        <v>239</v>
      </c>
      <c r="F577" s="507">
        <v>1.0</v>
      </c>
      <c r="G577" s="508">
        <v>450.0</v>
      </c>
      <c r="H577" s="496">
        <f t="shared" si="54"/>
        <v>0</v>
      </c>
      <c r="I577" s="499"/>
      <c r="J577" s="500"/>
    </row>
    <row r="578" ht="13.5" customHeight="1">
      <c r="A578" s="431"/>
      <c r="B578" s="510">
        <v>10190.0</v>
      </c>
      <c r="C578" s="519" t="s">
        <v>654</v>
      </c>
      <c r="D578" s="675"/>
      <c r="E578" s="731" t="s">
        <v>233</v>
      </c>
      <c r="F578" s="547">
        <v>1.0</v>
      </c>
      <c r="G578" s="754">
        <f>MISC</f>
        <v>150</v>
      </c>
      <c r="H578" s="496">
        <f t="shared" si="54"/>
        <v>0</v>
      </c>
      <c r="I578" s="502"/>
      <c r="J578" s="548"/>
    </row>
    <row r="579" ht="13.5" customHeight="1">
      <c r="A579" s="431"/>
      <c r="B579" s="504"/>
      <c r="C579" s="505"/>
      <c r="D579" s="505"/>
      <c r="E579" s="725"/>
      <c r="F579" s="556"/>
      <c r="G579" s="754"/>
      <c r="H579" s="683"/>
      <c r="I579" s="502"/>
      <c r="J579" s="548"/>
    </row>
    <row r="580" ht="13.5" customHeight="1">
      <c r="A580" s="431"/>
      <c r="B580" s="522">
        <v>11000.0</v>
      </c>
      <c r="C580" s="679" t="s">
        <v>655</v>
      </c>
      <c r="D580" s="766"/>
      <c r="E580" s="878"/>
      <c r="F580" s="745"/>
      <c r="G580" s="767"/>
      <c r="H580" s="693">
        <f>SUM(H581:H582)</f>
        <v>740</v>
      </c>
      <c r="I580" s="502"/>
      <c r="J580" s="548"/>
    </row>
    <row r="581" ht="13.5" customHeight="1">
      <c r="A581" s="431"/>
      <c r="B581" s="490">
        <v>11010.0</v>
      </c>
      <c r="C581" s="879" t="s">
        <v>656</v>
      </c>
      <c r="D581" s="880">
        <v>10.0</v>
      </c>
      <c r="E581" s="881" t="s">
        <v>657</v>
      </c>
      <c r="F581" s="848">
        <v>1.0</v>
      </c>
      <c r="G581" s="849">
        <v>50.0</v>
      </c>
      <c r="H581" s="496">
        <f t="shared" ref="H581:H582" si="55">D581*F581*G581</f>
        <v>500</v>
      </c>
      <c r="I581" s="502"/>
      <c r="J581" s="548"/>
    </row>
    <row r="582" ht="13.5" customHeight="1">
      <c r="A582" s="431"/>
      <c r="B582" s="490">
        <v>11020.0</v>
      </c>
      <c r="C582" s="880" t="s">
        <v>658</v>
      </c>
      <c r="D582" s="880">
        <v>3.0</v>
      </c>
      <c r="E582" s="881" t="s">
        <v>657</v>
      </c>
      <c r="F582" s="848">
        <v>1.0</v>
      </c>
      <c r="G582" s="849">
        <v>80.0</v>
      </c>
      <c r="H582" s="496">
        <f t="shared" si="55"/>
        <v>240</v>
      </c>
      <c r="I582" s="502"/>
      <c r="J582" s="548"/>
    </row>
    <row r="583" ht="13.5" customHeight="1">
      <c r="A583" s="539"/>
      <c r="B583" s="654"/>
      <c r="C583" s="879"/>
      <c r="D583" s="879"/>
      <c r="E583" s="881"/>
      <c r="F583" s="882"/>
      <c r="G583" s="883"/>
      <c r="H583" s="653"/>
      <c r="I583" s="502"/>
      <c r="J583" s="548"/>
    </row>
    <row r="584" ht="13.5" customHeight="1">
      <c r="A584" s="431"/>
      <c r="B584" s="522">
        <v>12000.0</v>
      </c>
      <c r="C584" s="523" t="s">
        <v>659</v>
      </c>
      <c r="D584" s="505"/>
      <c r="E584" s="884"/>
      <c r="F584" s="513"/>
      <c r="G584" s="512"/>
      <c r="H584" s="515">
        <f>sum(H585:H589)</f>
        <v>7500</v>
      </c>
      <c r="I584" s="453"/>
      <c r="J584" s="502"/>
    </row>
    <row r="585" ht="13.5" customHeight="1">
      <c r="A585" s="431"/>
      <c r="B585" s="504"/>
      <c r="C585" s="885" t="s">
        <v>660</v>
      </c>
      <c r="D585" s="505"/>
      <c r="E585" s="884"/>
      <c r="F585" s="513"/>
      <c r="G585" s="512"/>
      <c r="H585" s="496"/>
      <c r="I585" s="502"/>
      <c r="J585" s="548"/>
    </row>
    <row r="586" ht="13.5" customHeight="1">
      <c r="A586" s="431"/>
      <c r="B586" s="510">
        <v>12010.0</v>
      </c>
      <c r="C586" s="505" t="s">
        <v>661</v>
      </c>
      <c r="D586" s="505">
        <v>1.0</v>
      </c>
      <c r="E586" s="884" t="s">
        <v>233</v>
      </c>
      <c r="F586" s="507">
        <v>1.0</v>
      </c>
      <c r="G586" s="512">
        <v>2500.0</v>
      </c>
      <c r="H586" s="496">
        <f t="shared" ref="H586:H589" si="56">D586*F586*G586</f>
        <v>2500</v>
      </c>
      <c r="I586" s="502"/>
      <c r="J586" s="548"/>
    </row>
    <row r="587" ht="13.5" customHeight="1">
      <c r="A587" s="431"/>
      <c r="B587" s="510">
        <v>12020.0</v>
      </c>
      <c r="C587" s="505" t="s">
        <v>662</v>
      </c>
      <c r="D587" s="505">
        <v>1.0</v>
      </c>
      <c r="E587" s="884" t="s">
        <v>233</v>
      </c>
      <c r="F587" s="507">
        <v>1.0</v>
      </c>
      <c r="G587" s="508">
        <v>4000.0</v>
      </c>
      <c r="H587" s="496">
        <f t="shared" si="56"/>
        <v>4000</v>
      </c>
      <c r="I587" s="502"/>
      <c r="J587" s="548"/>
    </row>
    <row r="588" ht="12.75" customHeight="1">
      <c r="A588" s="431"/>
      <c r="B588" s="510">
        <v>12030.0</v>
      </c>
      <c r="C588" s="509" t="s">
        <v>663</v>
      </c>
      <c r="D588" s="505">
        <v>1.0</v>
      </c>
      <c r="E588" s="884" t="s">
        <v>233</v>
      </c>
      <c r="F588" s="507">
        <v>1.0</v>
      </c>
      <c r="G588" s="508">
        <v>1000.0</v>
      </c>
      <c r="H588" s="496">
        <f t="shared" si="56"/>
        <v>1000</v>
      </c>
      <c r="I588" s="502"/>
      <c r="J588" s="548"/>
    </row>
    <row r="589" ht="13.5" customHeight="1">
      <c r="A589" s="664"/>
      <c r="B589" s="490">
        <v>12080.0</v>
      </c>
      <c r="C589" s="880" t="s">
        <v>664</v>
      </c>
      <c r="D589" s="880"/>
      <c r="E589" s="886" t="s">
        <v>233</v>
      </c>
      <c r="F589" s="848">
        <v>1.0</v>
      </c>
      <c r="G589" s="849"/>
      <c r="H589" s="496">
        <f t="shared" si="56"/>
        <v>0</v>
      </c>
      <c r="I589" s="467"/>
      <c r="J589" s="548"/>
    </row>
    <row r="590" ht="13.5" customHeight="1">
      <c r="A590" s="539"/>
      <c r="B590" s="504"/>
      <c r="C590" s="505"/>
      <c r="D590" s="505"/>
      <c r="E590" s="884"/>
      <c r="F590" s="513"/>
      <c r="G590" s="512"/>
      <c r="H590" s="558"/>
      <c r="I590" s="502"/>
      <c r="J590" s="548"/>
    </row>
    <row r="591" ht="12.75" customHeight="1">
      <c r="A591" s="431"/>
      <c r="B591" s="522">
        <v>13000.0</v>
      </c>
      <c r="C591" s="523" t="s">
        <v>665</v>
      </c>
      <c r="D591" s="505"/>
      <c r="E591" s="884"/>
      <c r="F591" s="513"/>
      <c r="G591" s="512"/>
      <c r="H591" s="515">
        <f>SUM(H592:H593)</f>
        <v>2000</v>
      </c>
      <c r="I591" s="453"/>
      <c r="J591" s="502"/>
    </row>
    <row r="592" ht="12.75" customHeight="1">
      <c r="A592" s="431"/>
      <c r="B592" s="510">
        <v>13010.0</v>
      </c>
      <c r="C592" s="509" t="s">
        <v>666</v>
      </c>
      <c r="D592" s="505">
        <v>1.0</v>
      </c>
      <c r="E592" s="884" t="s">
        <v>233</v>
      </c>
      <c r="F592" s="507">
        <v>1.0</v>
      </c>
      <c r="G592" s="508">
        <v>2000.0</v>
      </c>
      <c r="H592" s="496">
        <f t="shared" ref="H592:H593" si="57">D592*F592*G592</f>
        <v>2000</v>
      </c>
      <c r="I592" s="502"/>
      <c r="J592" s="548"/>
    </row>
    <row r="593" ht="12.75" customHeight="1">
      <c r="A593" s="431"/>
      <c r="B593" s="510">
        <v>13020.0</v>
      </c>
      <c r="C593" s="509" t="s">
        <v>667</v>
      </c>
      <c r="D593" s="505"/>
      <c r="E593" s="884" t="s">
        <v>233</v>
      </c>
      <c r="F593" s="507">
        <v>1.0</v>
      </c>
      <c r="G593" s="512">
        <v>1000.0</v>
      </c>
      <c r="H593" s="496">
        <f t="shared" si="57"/>
        <v>0</v>
      </c>
      <c r="I593" s="502"/>
      <c r="J593" s="548"/>
    </row>
    <row r="594" ht="13.5" customHeight="1">
      <c r="A594" s="539"/>
      <c r="B594" s="865"/>
      <c r="C594" s="887"/>
      <c r="D594" s="879"/>
      <c r="E594" s="881"/>
      <c r="F594" s="882"/>
      <c r="G594" s="883"/>
      <c r="H594" s="653"/>
      <c r="I594" s="453"/>
      <c r="J594" s="502"/>
    </row>
    <row r="595" ht="13.5" customHeight="1">
      <c r="A595" s="539"/>
      <c r="B595" s="543">
        <v>14000.0</v>
      </c>
      <c r="C595" s="887" t="s">
        <v>668</v>
      </c>
      <c r="D595" s="879"/>
      <c r="E595" s="881"/>
      <c r="F595" s="882"/>
      <c r="G595" s="883"/>
      <c r="H595" s="653">
        <f>SUM(H596:H602)</f>
        <v>3170</v>
      </c>
      <c r="I595" s="453"/>
      <c r="J595" s="502"/>
    </row>
    <row r="596" ht="13.5" customHeight="1">
      <c r="A596" s="539"/>
      <c r="B596" s="510">
        <v>14010.0</v>
      </c>
      <c r="C596" s="516" t="s">
        <v>243</v>
      </c>
      <c r="D596" s="519">
        <v>3.0</v>
      </c>
      <c r="E596" s="888" t="s">
        <v>244</v>
      </c>
      <c r="F596" s="507">
        <v>1.0</v>
      </c>
      <c r="G596" s="667">
        <v>400.0</v>
      </c>
      <c r="H596" s="496">
        <f t="shared" ref="H596:H602" si="58">D596*F596*G596</f>
        <v>1200</v>
      </c>
      <c r="I596" s="453"/>
      <c r="J596" s="502"/>
    </row>
    <row r="597" ht="13.5" customHeight="1">
      <c r="A597" s="539"/>
      <c r="B597" s="510">
        <v>14020.0</v>
      </c>
      <c r="C597" s="517" t="s">
        <v>490</v>
      </c>
      <c r="D597" s="675">
        <v>0.0</v>
      </c>
      <c r="E597" s="888" t="s">
        <v>246</v>
      </c>
      <c r="F597" s="547">
        <v>1.0</v>
      </c>
      <c r="G597" s="754">
        <v>75.0</v>
      </c>
      <c r="H597" s="496">
        <f t="shared" si="58"/>
        <v>0</v>
      </c>
      <c r="I597" s="453"/>
      <c r="J597" s="502"/>
    </row>
    <row r="598" ht="13.5" customHeight="1">
      <c r="A598" s="539"/>
      <c r="B598" s="510">
        <v>14030.0</v>
      </c>
      <c r="C598" s="516" t="s">
        <v>247</v>
      </c>
      <c r="D598" s="519">
        <v>3.0</v>
      </c>
      <c r="E598" s="888" t="s">
        <v>669</v>
      </c>
      <c r="F598" s="547">
        <v>2.0</v>
      </c>
      <c r="G598" s="799">
        <v>200.0</v>
      </c>
      <c r="H598" s="496">
        <f t="shared" si="58"/>
        <v>1200</v>
      </c>
      <c r="I598" s="453"/>
      <c r="J598" s="502"/>
    </row>
    <row r="599" ht="13.5" customHeight="1">
      <c r="A599" s="539"/>
      <c r="B599" s="510">
        <v>14040.0</v>
      </c>
      <c r="C599" s="516" t="s">
        <v>249</v>
      </c>
      <c r="D599" s="519">
        <v>1.0</v>
      </c>
      <c r="E599" s="889" t="s">
        <v>233</v>
      </c>
      <c r="F599" s="547">
        <v>1.0</v>
      </c>
      <c r="G599" s="799">
        <v>200.0</v>
      </c>
      <c r="H599" s="496">
        <f t="shared" si="58"/>
        <v>200</v>
      </c>
      <c r="I599" s="453"/>
      <c r="J599" s="502"/>
    </row>
    <row r="600" ht="13.5" customHeight="1">
      <c r="A600" s="539"/>
      <c r="B600" s="510">
        <v>14050.0</v>
      </c>
      <c r="C600" s="517" t="s">
        <v>250</v>
      </c>
      <c r="D600" s="675">
        <f>D598</f>
        <v>3</v>
      </c>
      <c r="E600" s="888" t="s">
        <v>239</v>
      </c>
      <c r="F600" s="547">
        <v>2.0</v>
      </c>
      <c r="G600" s="799">
        <v>70.0</v>
      </c>
      <c r="H600" s="496">
        <f t="shared" si="58"/>
        <v>420</v>
      </c>
      <c r="I600" s="453"/>
      <c r="J600" s="502"/>
    </row>
    <row r="601" ht="13.5" customHeight="1">
      <c r="A601" s="664"/>
      <c r="B601" s="518">
        <v>14080.0</v>
      </c>
      <c r="C601" s="516" t="s">
        <v>670</v>
      </c>
      <c r="D601" s="505"/>
      <c r="E601" s="511" t="s">
        <v>233</v>
      </c>
      <c r="F601" s="507">
        <v>1.0</v>
      </c>
      <c r="G601" s="508">
        <v>500.0</v>
      </c>
      <c r="H601" s="496">
        <f t="shared" si="58"/>
        <v>0</v>
      </c>
      <c r="I601" s="552"/>
      <c r="J601" s="429"/>
    </row>
    <row r="602" ht="13.5" customHeight="1">
      <c r="A602" s="431"/>
      <c r="B602" s="518">
        <v>14090.0</v>
      </c>
      <c r="C602" s="516" t="s">
        <v>671</v>
      </c>
      <c r="D602" s="505">
        <v>1.0</v>
      </c>
      <c r="E602" s="884" t="s">
        <v>233</v>
      </c>
      <c r="F602" s="507">
        <v>1.0</v>
      </c>
      <c r="G602" s="512">
        <f>MISC</f>
        <v>150</v>
      </c>
      <c r="H602" s="496">
        <f t="shared" si="58"/>
        <v>150</v>
      </c>
      <c r="I602" s="453"/>
      <c r="J602" s="502"/>
    </row>
    <row r="603" ht="13.5" customHeight="1">
      <c r="A603" s="539"/>
      <c r="B603" s="504"/>
      <c r="C603" s="505"/>
      <c r="D603" s="505"/>
      <c r="E603" s="884"/>
      <c r="F603" s="513"/>
      <c r="G603" s="512"/>
      <c r="H603" s="558"/>
      <c r="I603" s="502"/>
      <c r="J603" s="548"/>
    </row>
    <row r="604" ht="12.75" customHeight="1">
      <c r="A604" s="431"/>
      <c r="B604" s="522">
        <v>15000.0</v>
      </c>
      <c r="C604" s="498" t="s">
        <v>672</v>
      </c>
      <c r="D604" s="505"/>
      <c r="E604" s="884"/>
      <c r="F604" s="513"/>
      <c r="G604" s="512"/>
      <c r="H604" s="515">
        <f>SUM(H605:H613)</f>
        <v>0</v>
      </c>
      <c r="I604" s="453"/>
      <c r="J604" s="502"/>
    </row>
    <row r="605" ht="12.75" customHeight="1">
      <c r="A605" s="431"/>
      <c r="B605" s="510">
        <v>15010.0</v>
      </c>
      <c r="C605" s="505" t="s">
        <v>652</v>
      </c>
      <c r="D605" s="505"/>
      <c r="E605" s="884" t="s">
        <v>233</v>
      </c>
      <c r="F605" s="507">
        <v>1.0</v>
      </c>
      <c r="G605" s="512"/>
      <c r="H605" s="496">
        <f t="shared" ref="H605:H613" si="59">D605*F605*G605</f>
        <v>0</v>
      </c>
      <c r="I605" s="502"/>
      <c r="J605" s="548"/>
    </row>
    <row r="606" ht="12.0" customHeight="1">
      <c r="A606" s="431"/>
      <c r="B606" s="510">
        <v>15020.0</v>
      </c>
      <c r="C606" s="505" t="s">
        <v>673</v>
      </c>
      <c r="D606" s="505"/>
      <c r="E606" s="884" t="s">
        <v>233</v>
      </c>
      <c r="F606" s="507">
        <v>1.0</v>
      </c>
      <c r="G606" s="512"/>
      <c r="H606" s="496">
        <f t="shared" si="59"/>
        <v>0</v>
      </c>
      <c r="I606" s="502"/>
      <c r="J606" s="548"/>
    </row>
    <row r="607" ht="12.0" customHeight="1">
      <c r="A607" s="431"/>
      <c r="B607" s="510">
        <v>15021.0</v>
      </c>
      <c r="C607" s="509" t="s">
        <v>674</v>
      </c>
      <c r="D607" s="505"/>
      <c r="E607" s="884" t="s">
        <v>233</v>
      </c>
      <c r="F607" s="507">
        <v>1.0</v>
      </c>
      <c r="G607" s="512"/>
      <c r="H607" s="496">
        <f t="shared" si="59"/>
        <v>0</v>
      </c>
      <c r="I607" s="502"/>
      <c r="J607" s="548"/>
    </row>
    <row r="608" ht="12.75" customHeight="1">
      <c r="A608" s="431"/>
      <c r="B608" s="510">
        <v>15022.0</v>
      </c>
      <c r="C608" s="509" t="s">
        <v>675</v>
      </c>
      <c r="D608" s="505"/>
      <c r="E608" s="884" t="s">
        <v>233</v>
      </c>
      <c r="F608" s="507">
        <v>1.0</v>
      </c>
      <c r="G608" s="512"/>
      <c r="H608" s="496">
        <f t="shared" si="59"/>
        <v>0</v>
      </c>
      <c r="I608" s="502"/>
      <c r="J608" s="548"/>
    </row>
    <row r="609" ht="12.75" customHeight="1">
      <c r="A609" s="431"/>
      <c r="B609" s="510">
        <v>15030.0</v>
      </c>
      <c r="C609" s="505" t="s">
        <v>676</v>
      </c>
      <c r="D609" s="505"/>
      <c r="E609" s="884" t="s">
        <v>233</v>
      </c>
      <c r="F609" s="507">
        <v>1.0</v>
      </c>
      <c r="G609" s="512"/>
      <c r="H609" s="496">
        <f t="shared" si="59"/>
        <v>0</v>
      </c>
      <c r="I609" s="502"/>
      <c r="J609" s="548"/>
    </row>
    <row r="610" ht="12.75" customHeight="1">
      <c r="A610" s="431"/>
      <c r="B610" s="510">
        <v>15040.0</v>
      </c>
      <c r="C610" s="505" t="s">
        <v>677</v>
      </c>
      <c r="D610" s="505"/>
      <c r="E610" s="884" t="s">
        <v>233</v>
      </c>
      <c r="F610" s="507">
        <v>1.0</v>
      </c>
      <c r="G610" s="512"/>
      <c r="H610" s="496">
        <f t="shared" si="59"/>
        <v>0</v>
      </c>
      <c r="I610" s="502"/>
      <c r="J610" s="548"/>
    </row>
    <row r="611" ht="12.75" customHeight="1">
      <c r="A611" s="431"/>
      <c r="B611" s="549">
        <v>15050.0</v>
      </c>
      <c r="C611" s="733" t="s">
        <v>678</v>
      </c>
      <c r="D611" s="505"/>
      <c r="E611" s="884" t="s">
        <v>233</v>
      </c>
      <c r="F611" s="507">
        <v>1.0</v>
      </c>
      <c r="G611" s="512"/>
      <c r="H611" s="496">
        <f t="shared" si="59"/>
        <v>0</v>
      </c>
      <c r="I611" s="502"/>
      <c r="J611" s="548"/>
    </row>
    <row r="612" ht="12.75" customHeight="1">
      <c r="A612" s="431"/>
      <c r="B612" s="549">
        <v>15060.0</v>
      </c>
      <c r="C612" s="535" t="s">
        <v>679</v>
      </c>
      <c r="D612" s="505"/>
      <c r="E612" s="884" t="s">
        <v>233</v>
      </c>
      <c r="F612" s="507">
        <v>1.0</v>
      </c>
      <c r="G612" s="512"/>
      <c r="H612" s="496">
        <f t="shared" si="59"/>
        <v>0</v>
      </c>
      <c r="I612" s="502"/>
      <c r="J612" s="548"/>
    </row>
    <row r="613" ht="12.75" customHeight="1">
      <c r="A613" s="431"/>
      <c r="B613" s="549">
        <v>15090.0</v>
      </c>
      <c r="C613" s="837" t="s">
        <v>680</v>
      </c>
      <c r="D613" s="505"/>
      <c r="E613" s="890" t="s">
        <v>233</v>
      </c>
      <c r="F613" s="507">
        <v>1.0</v>
      </c>
      <c r="G613" s="512">
        <f>MISC</f>
        <v>150</v>
      </c>
      <c r="H613" s="496">
        <f t="shared" si="59"/>
        <v>0</v>
      </c>
      <c r="I613" s="502"/>
      <c r="J613" s="548"/>
    </row>
    <row r="614" ht="12.75" customHeight="1">
      <c r="A614" s="431"/>
      <c r="B614" s="549"/>
      <c r="C614" s="891"/>
      <c r="D614" s="505"/>
      <c r="E614" s="884"/>
      <c r="F614" s="507"/>
      <c r="G614" s="512"/>
      <c r="H614" s="496"/>
      <c r="I614" s="502"/>
      <c r="J614" s="548"/>
    </row>
    <row r="615" ht="12.75" customHeight="1">
      <c r="A615" s="697"/>
      <c r="B615" s="892">
        <v>15100.0</v>
      </c>
      <c r="C615" s="893" t="s">
        <v>681</v>
      </c>
      <c r="D615" s="498"/>
      <c r="E615" s="894"/>
      <c r="F615" s="895"/>
      <c r="G615" s="692"/>
      <c r="H615" s="515">
        <f>sum(H616:H622)</f>
        <v>0</v>
      </c>
      <c r="I615" s="801"/>
      <c r="J615" s="548"/>
    </row>
    <row r="616" ht="12.75" customHeight="1">
      <c r="A616" s="431"/>
      <c r="B616" s="510">
        <v>15110.0</v>
      </c>
      <c r="C616" s="516" t="s">
        <v>243</v>
      </c>
      <c r="D616" s="505"/>
      <c r="E616" s="884" t="s">
        <v>233</v>
      </c>
      <c r="F616" s="507">
        <v>1.0</v>
      </c>
      <c r="G616" s="512"/>
      <c r="H616" s="496">
        <f t="shared" ref="H616:H622" si="60">D616*F616*G616</f>
        <v>0</v>
      </c>
      <c r="I616" s="502"/>
      <c r="J616" s="548"/>
    </row>
    <row r="617" ht="12.75" customHeight="1">
      <c r="A617" s="431"/>
      <c r="B617" s="510">
        <v>15120.0</v>
      </c>
      <c r="C617" s="517" t="s">
        <v>490</v>
      </c>
      <c r="D617" s="505"/>
      <c r="E617" s="884" t="s">
        <v>233</v>
      </c>
      <c r="F617" s="507">
        <v>1.0</v>
      </c>
      <c r="G617" s="512"/>
      <c r="H617" s="496">
        <f t="shared" si="60"/>
        <v>0</v>
      </c>
      <c r="I617" s="502"/>
      <c r="J617" s="548"/>
    </row>
    <row r="618" ht="12.75" customHeight="1">
      <c r="A618" s="431"/>
      <c r="B618" s="510">
        <v>15130.0</v>
      </c>
      <c r="C618" s="516" t="s">
        <v>247</v>
      </c>
      <c r="D618" s="505"/>
      <c r="E618" s="884" t="s">
        <v>233</v>
      </c>
      <c r="F618" s="507">
        <v>1.0</v>
      </c>
      <c r="G618" s="512"/>
      <c r="H618" s="496">
        <f t="shared" si="60"/>
        <v>0</v>
      </c>
      <c r="I618" s="502"/>
      <c r="J618" s="548"/>
    </row>
    <row r="619" ht="12.75" customHeight="1">
      <c r="A619" s="431"/>
      <c r="B619" s="510">
        <v>15140.0</v>
      </c>
      <c r="C619" s="516" t="s">
        <v>249</v>
      </c>
      <c r="D619" s="505"/>
      <c r="E619" s="884" t="s">
        <v>233</v>
      </c>
      <c r="F619" s="507">
        <v>1.0</v>
      </c>
      <c r="G619" s="512"/>
      <c r="H619" s="496">
        <f t="shared" si="60"/>
        <v>0</v>
      </c>
      <c r="I619" s="502"/>
      <c r="J619" s="548"/>
    </row>
    <row r="620" ht="12.75" customHeight="1">
      <c r="A620" s="431"/>
      <c r="B620" s="510">
        <v>15150.0</v>
      </c>
      <c r="C620" s="517" t="s">
        <v>250</v>
      </c>
      <c r="D620" s="505"/>
      <c r="E620" s="884" t="s">
        <v>233</v>
      </c>
      <c r="F620" s="507">
        <v>1.0</v>
      </c>
      <c r="G620" s="512"/>
      <c r="H620" s="496">
        <f t="shared" si="60"/>
        <v>0</v>
      </c>
      <c r="I620" s="502"/>
      <c r="J620" s="548"/>
    </row>
    <row r="621" ht="13.5" customHeight="1">
      <c r="A621" s="664"/>
      <c r="B621" s="518">
        <v>15180.0</v>
      </c>
      <c r="C621" s="516" t="s">
        <v>682</v>
      </c>
      <c r="D621" s="505"/>
      <c r="E621" s="511" t="s">
        <v>233</v>
      </c>
      <c r="F621" s="507">
        <v>1.0</v>
      </c>
      <c r="G621" s="508"/>
      <c r="H621" s="496">
        <f t="shared" si="60"/>
        <v>0</v>
      </c>
      <c r="I621" s="552"/>
      <c r="J621" s="429"/>
    </row>
    <row r="622" ht="12.75" customHeight="1">
      <c r="A622" s="431"/>
      <c r="B622" s="490">
        <v>15190.0</v>
      </c>
      <c r="C622" s="516" t="s">
        <v>683</v>
      </c>
      <c r="D622" s="505"/>
      <c r="E622" s="884" t="s">
        <v>233</v>
      </c>
      <c r="F622" s="507">
        <v>1.0</v>
      </c>
      <c r="G622" s="512">
        <f>MISC</f>
        <v>150</v>
      </c>
      <c r="H622" s="496">
        <f t="shared" si="60"/>
        <v>0</v>
      </c>
      <c r="I622" s="502"/>
      <c r="J622" s="548"/>
    </row>
    <row r="623" ht="13.5" customHeight="1">
      <c r="A623" s="431"/>
      <c r="B623" s="755"/>
      <c r="C623" s="803"/>
      <c r="D623" s="803"/>
      <c r="E623" s="896"/>
      <c r="F623" s="897"/>
      <c r="G623" s="898"/>
      <c r="H623" s="899"/>
      <c r="I623" s="502"/>
      <c r="J623" s="548"/>
    </row>
    <row r="624" ht="13.5" customHeight="1">
      <c r="A624" s="431"/>
      <c r="B624" s="567"/>
      <c r="C624" s="568"/>
      <c r="D624" s="569"/>
      <c r="E624" s="570"/>
      <c r="F624" s="569"/>
      <c r="G624" s="571"/>
      <c r="H624" s="572"/>
      <c r="I624" s="502"/>
      <c r="J624" s="548"/>
    </row>
    <row r="625" ht="13.5" customHeight="1">
      <c r="A625" s="431"/>
      <c r="B625" s="573"/>
      <c r="C625" s="715" t="s">
        <v>296</v>
      </c>
      <c r="D625" s="769"/>
      <c r="E625" s="576"/>
      <c r="F625" s="577"/>
      <c r="G625" s="578"/>
      <c r="H625" s="579">
        <f>SUM(H556:H623)/2</f>
        <v>40700</v>
      </c>
      <c r="I625" s="502"/>
      <c r="J625" s="548"/>
    </row>
    <row r="626" ht="13.5" customHeight="1">
      <c r="A626" s="431"/>
      <c r="B626" s="633"/>
      <c r="C626" s="634"/>
      <c r="D626" s="435"/>
      <c r="E626" s="635"/>
      <c r="F626" s="435"/>
      <c r="G626" s="583"/>
      <c r="H626" s="586"/>
      <c r="I626" s="499"/>
      <c r="J626" s="500"/>
    </row>
    <row r="627" ht="13.5" customHeight="1">
      <c r="A627" s="636"/>
      <c r="B627" s="855"/>
      <c r="C627" s="856" t="s">
        <v>684</v>
      </c>
      <c r="D627" s="642"/>
      <c r="E627" s="857"/>
      <c r="F627" s="858"/>
      <c r="G627" s="642"/>
      <c r="H627" s="900">
        <f>sum(H556:H626)/3</f>
        <v>40700</v>
      </c>
      <c r="I627" s="500"/>
      <c r="J627" s="500"/>
    </row>
    <row r="628" ht="13.5" customHeight="1">
      <c r="A628" s="431"/>
      <c r="B628" s="582"/>
      <c r="C628" s="449"/>
      <c r="D628" s="451"/>
      <c r="E628" s="582"/>
      <c r="F628" s="443"/>
      <c r="G628" s="583"/>
      <c r="H628" s="583"/>
      <c r="I628" s="502"/>
      <c r="J628" s="548"/>
    </row>
    <row r="629" ht="13.5" customHeight="1">
      <c r="A629" s="431"/>
      <c r="B629" s="901"/>
      <c r="C629" s="902" t="s">
        <v>318</v>
      </c>
      <c r="D629" s="903"/>
      <c r="E629" s="904"/>
      <c r="F629" s="905"/>
      <c r="G629" s="906"/>
      <c r="H629" s="907">
        <f>H138</f>
        <v>255615.15</v>
      </c>
      <c r="I629" s="502"/>
      <c r="J629" s="548"/>
    </row>
    <row r="630" ht="13.5" customHeight="1">
      <c r="A630" s="431"/>
      <c r="B630" s="908"/>
      <c r="C630" s="909" t="s">
        <v>633</v>
      </c>
      <c r="D630" s="910"/>
      <c r="E630" s="911"/>
      <c r="F630" s="912"/>
      <c r="G630" s="913"/>
      <c r="H630" s="914">
        <f>H553</f>
        <v>879900.6866</v>
      </c>
      <c r="I630" s="502"/>
      <c r="J630" s="548"/>
    </row>
    <row r="631" ht="13.5" customHeight="1">
      <c r="A631" s="431"/>
      <c r="B631" s="915"/>
      <c r="C631" s="916" t="s">
        <v>684</v>
      </c>
      <c r="D631" s="917"/>
      <c r="E631" s="918"/>
      <c r="F631" s="919"/>
      <c r="G631" s="920"/>
      <c r="H631" s="921">
        <f>H627</f>
        <v>40700</v>
      </c>
      <c r="I631" s="502"/>
      <c r="J631" s="548"/>
    </row>
    <row r="632" ht="13.5" customHeight="1">
      <c r="A632" s="431"/>
      <c r="B632" s="922"/>
      <c r="C632" s="923" t="s">
        <v>685</v>
      </c>
      <c r="D632" s="924"/>
      <c r="E632" s="925"/>
      <c r="F632" s="926"/>
      <c r="G632" s="927"/>
      <c r="H632" s="928">
        <f>sum(H629:H631)</f>
        <v>1176215.837</v>
      </c>
      <c r="I632" s="502"/>
      <c r="J632" s="548"/>
    </row>
    <row r="633" ht="13.5" customHeight="1">
      <c r="A633" s="431"/>
      <c r="B633" s="929"/>
      <c r="C633" s="930"/>
      <c r="D633" s="931"/>
      <c r="E633" s="932"/>
      <c r="F633" s="933"/>
      <c r="G633" s="934"/>
      <c r="H633" s="935"/>
      <c r="I633" s="502"/>
      <c r="J633" s="548"/>
    </row>
    <row r="634" ht="13.5" customHeight="1">
      <c r="A634" s="431"/>
      <c r="B634" s="936"/>
      <c r="C634" s="937" t="s">
        <v>166</v>
      </c>
      <c r="D634" s="938">
        <f>CONTINGENCY</f>
        <v>0.075</v>
      </c>
      <c r="E634" s="939"/>
      <c r="F634" s="905"/>
      <c r="G634" s="940">
        <f>H632</f>
        <v>1176215.837</v>
      </c>
      <c r="H634" s="907">
        <f t="shared" ref="H634:H635" si="61">D634*G634</f>
        <v>88216.18775</v>
      </c>
      <c r="I634" s="502"/>
      <c r="J634" s="548"/>
    </row>
    <row r="635" ht="13.5" customHeight="1">
      <c r="A635" s="431"/>
      <c r="B635" s="941"/>
      <c r="C635" s="942" t="s">
        <v>686</v>
      </c>
      <c r="D635" s="910">
        <f>FISCAL</f>
        <v>0.05</v>
      </c>
      <c r="E635" s="911"/>
      <c r="F635" s="912"/>
      <c r="G635" s="943">
        <f>sum('6. Finance Plan'!D12:D14)+sum('6. Finance Plan'!D25:D27)</f>
        <v>435000</v>
      </c>
      <c r="H635" s="914">
        <f t="shared" si="61"/>
        <v>21750</v>
      </c>
      <c r="I635" s="502"/>
      <c r="J635" s="548"/>
    </row>
    <row r="636" ht="13.5" customHeight="1">
      <c r="A636" s="431"/>
      <c r="B636" s="944"/>
      <c r="C636" s="945" t="s">
        <v>687</v>
      </c>
      <c r="D636" s="946"/>
      <c r="E636" s="947"/>
      <c r="F636" s="948"/>
      <c r="G636" s="949"/>
      <c r="H636" s="950">
        <v>0.0</v>
      </c>
      <c r="I636" s="502"/>
    </row>
    <row r="637" ht="13.5" customHeight="1">
      <c r="A637" s="431"/>
      <c r="B637" s="951"/>
      <c r="C637" s="952" t="s">
        <v>688</v>
      </c>
      <c r="D637" s="952"/>
      <c r="E637" s="953"/>
      <c r="F637" s="926"/>
      <c r="G637" s="954"/>
      <c r="H637" s="928">
        <f>sum(H632:H636)</f>
        <v>1286182.024</v>
      </c>
      <c r="I637" s="502"/>
      <c r="J637" s="548"/>
    </row>
    <row r="638" ht="13.5" customHeight="1">
      <c r="A638" s="431"/>
      <c r="B638" s="453"/>
      <c r="C638" s="449"/>
      <c r="D638" s="453"/>
      <c r="E638" s="451"/>
      <c r="F638" s="443"/>
      <c r="G638" s="583"/>
      <c r="H638" s="583"/>
      <c r="I638" s="502"/>
      <c r="J638" s="407"/>
    </row>
    <row r="639" ht="13.5" customHeight="1">
      <c r="A639" s="431"/>
      <c r="B639" s="453"/>
      <c r="C639" s="449"/>
      <c r="D639" s="453"/>
      <c r="E639" s="451"/>
      <c r="F639" s="443"/>
      <c r="G639" s="583"/>
      <c r="H639" s="583"/>
      <c r="J639" s="407"/>
    </row>
    <row r="640" ht="13.5" customHeight="1">
      <c r="A640" s="431"/>
      <c r="B640" s="453"/>
      <c r="C640" s="449"/>
      <c r="D640" s="453"/>
      <c r="E640" s="451"/>
      <c r="F640" s="443"/>
      <c r="G640" s="583"/>
      <c r="H640" s="583"/>
      <c r="I640" s="955"/>
      <c r="J640" s="407"/>
    </row>
    <row r="641" ht="13.5" customHeight="1">
      <c r="A641" s="431"/>
      <c r="B641" s="956"/>
      <c r="C641" s="449"/>
      <c r="D641" s="453"/>
      <c r="E641" s="451"/>
      <c r="F641" s="443"/>
      <c r="G641" s="583"/>
      <c r="H641" s="583"/>
      <c r="I641" s="955"/>
      <c r="J641" s="407"/>
    </row>
    <row r="642" ht="13.5" customHeight="1">
      <c r="A642" s="431"/>
      <c r="B642" s="453"/>
      <c r="C642" s="449"/>
      <c r="D642" s="453"/>
      <c r="E642" s="451"/>
      <c r="F642" s="443"/>
      <c r="G642" s="583"/>
      <c r="H642" s="583"/>
      <c r="J642" s="407"/>
    </row>
    <row r="643" ht="13.5" customHeight="1">
      <c r="A643" s="431"/>
      <c r="B643" s="956"/>
      <c r="C643" s="449"/>
      <c r="D643" s="453"/>
      <c r="E643" s="451"/>
      <c r="F643" s="443"/>
      <c r="G643" s="583"/>
      <c r="H643" s="583"/>
      <c r="I643" s="955"/>
      <c r="J643" s="407"/>
    </row>
    <row r="644" ht="13.5" customHeight="1">
      <c r="A644" s="431"/>
      <c r="B644" s="453"/>
      <c r="C644" s="449"/>
      <c r="D644" s="453"/>
      <c r="E644" s="451"/>
      <c r="F644" s="443"/>
      <c r="G644" s="583"/>
      <c r="H644" s="583"/>
      <c r="I644" s="957"/>
      <c r="J644" s="407"/>
    </row>
    <row r="645" ht="13.5" customHeight="1">
      <c r="A645" s="431"/>
      <c r="B645" s="956"/>
      <c r="C645" s="958"/>
      <c r="D645" s="958"/>
      <c r="E645" s="451"/>
      <c r="F645" s="443"/>
      <c r="G645" s="462"/>
      <c r="H645" s="583"/>
      <c r="I645" s="955"/>
      <c r="J645" s="407"/>
    </row>
    <row r="646" ht="13.5" customHeight="1">
      <c r="A646" s="431"/>
      <c r="B646" s="958"/>
      <c r="C646" s="958"/>
      <c r="D646" s="958"/>
      <c r="E646" s="451"/>
      <c r="F646" s="443"/>
      <c r="G646" s="462"/>
      <c r="H646" s="583"/>
      <c r="I646" s="502"/>
      <c r="J646" s="407"/>
    </row>
    <row r="647" ht="13.5" customHeight="1">
      <c r="A647" s="431"/>
      <c r="B647" s="956"/>
      <c r="C647" s="958"/>
      <c r="D647" s="958"/>
      <c r="E647" s="451"/>
      <c r="F647" s="443"/>
      <c r="G647" s="462"/>
      <c r="H647" s="583"/>
      <c r="I647" s="502"/>
      <c r="J647" s="407"/>
    </row>
    <row r="648" ht="13.5" customHeight="1">
      <c r="A648" s="431"/>
      <c r="B648" s="453"/>
      <c r="C648" s="958"/>
      <c r="D648" s="958"/>
      <c r="E648" s="451"/>
      <c r="F648" s="443"/>
      <c r="G648" s="462"/>
      <c r="H648" s="583"/>
      <c r="I648" s="502"/>
      <c r="J648" s="407"/>
    </row>
    <row r="649" ht="13.5" customHeight="1">
      <c r="A649" s="431"/>
      <c r="B649" s="453"/>
      <c r="C649" s="958"/>
      <c r="D649" s="958"/>
      <c r="E649" s="451"/>
      <c r="F649" s="443"/>
      <c r="G649" s="462"/>
      <c r="H649" s="583"/>
      <c r="I649" s="502"/>
      <c r="J649" s="407"/>
    </row>
    <row r="650" ht="13.5" customHeight="1">
      <c r="A650" s="431"/>
      <c r="B650" s="453"/>
      <c r="C650" s="958"/>
      <c r="D650" s="958"/>
      <c r="E650" s="451"/>
      <c r="F650" s="443"/>
      <c r="G650" s="462"/>
      <c r="H650" s="583"/>
      <c r="I650" s="502"/>
      <c r="J650" s="407"/>
    </row>
    <row r="651" ht="13.5" customHeight="1">
      <c r="A651" s="431"/>
      <c r="B651" s="453"/>
      <c r="C651" s="958"/>
      <c r="D651" s="958"/>
      <c r="E651" s="451"/>
      <c r="F651" s="443"/>
      <c r="G651" s="462"/>
      <c r="H651" s="583"/>
      <c r="I651" s="502"/>
      <c r="J651" s="407"/>
    </row>
    <row r="652" ht="13.5" customHeight="1">
      <c r="A652" s="431"/>
      <c r="B652" s="453"/>
      <c r="C652" s="958"/>
      <c r="D652" s="958"/>
      <c r="E652" s="451"/>
      <c r="F652" s="443"/>
      <c r="G652" s="462"/>
      <c r="H652" s="583"/>
      <c r="I652" s="502"/>
      <c r="J652" s="959"/>
    </row>
    <row r="653" ht="13.5" customHeight="1">
      <c r="A653" s="431"/>
      <c r="B653" s="453"/>
      <c r="C653" s="958"/>
      <c r="D653" s="958"/>
      <c r="E653" s="451"/>
      <c r="F653" s="443"/>
      <c r="G653" s="462"/>
      <c r="H653" s="583"/>
      <c r="I653" s="502"/>
      <c r="J653" s="407"/>
    </row>
    <row r="654" ht="13.5" customHeight="1">
      <c r="A654" s="431"/>
      <c r="B654" s="453"/>
      <c r="C654" s="958"/>
      <c r="D654" s="958"/>
      <c r="E654" s="451"/>
      <c r="F654" s="443"/>
      <c r="G654" s="462"/>
      <c r="H654" s="583"/>
      <c r="I654" s="502"/>
      <c r="J654" s="959"/>
    </row>
    <row r="655" ht="13.5" customHeight="1">
      <c r="A655" s="431"/>
      <c r="B655" s="453"/>
      <c r="C655" s="958"/>
      <c r="D655" s="958"/>
      <c r="E655" s="451"/>
      <c r="F655" s="443"/>
      <c r="G655" s="462"/>
      <c r="H655" s="583"/>
      <c r="I655" s="502"/>
    </row>
    <row r="656" ht="13.5" customHeight="1">
      <c r="A656" s="431"/>
      <c r="B656" s="453"/>
      <c r="C656" s="958"/>
      <c r="D656" s="958"/>
      <c r="E656" s="451"/>
      <c r="F656" s="443"/>
      <c r="G656" s="462"/>
      <c r="H656" s="583"/>
      <c r="I656" s="502"/>
      <c r="J656" s="959"/>
    </row>
    <row r="657" ht="13.5" customHeight="1">
      <c r="A657" s="431"/>
      <c r="B657" s="453"/>
      <c r="C657" s="958"/>
      <c r="D657" s="958"/>
      <c r="E657" s="451"/>
      <c r="F657" s="443"/>
      <c r="G657" s="462"/>
      <c r="H657" s="583"/>
      <c r="I657" s="502"/>
      <c r="J657" s="407"/>
    </row>
    <row r="658" ht="13.5" customHeight="1">
      <c r="A658" s="431"/>
      <c r="B658" s="453"/>
      <c r="C658" s="958"/>
      <c r="D658" s="958"/>
      <c r="E658" s="451"/>
      <c r="F658" s="443"/>
      <c r="G658" s="462"/>
      <c r="H658" s="583"/>
      <c r="I658" s="502"/>
      <c r="J658" s="959"/>
    </row>
    <row r="659" ht="13.5" customHeight="1">
      <c r="A659" s="431"/>
      <c r="B659" s="453"/>
      <c r="C659" s="958"/>
      <c r="D659" s="958"/>
      <c r="E659" s="451"/>
      <c r="F659" s="443"/>
      <c r="G659" s="462"/>
      <c r="H659" s="583"/>
      <c r="I659" s="502"/>
      <c r="J659" s="407"/>
    </row>
    <row r="660" ht="13.5" customHeight="1">
      <c r="A660" s="431"/>
      <c r="B660" s="453"/>
      <c r="C660" s="958"/>
      <c r="D660" s="958"/>
      <c r="E660" s="451"/>
      <c r="F660" s="443"/>
      <c r="G660" s="462"/>
      <c r="H660" s="583"/>
      <c r="I660" s="502"/>
      <c r="J660" s="407"/>
    </row>
    <row r="661" ht="13.5" customHeight="1">
      <c r="A661" s="431"/>
      <c r="B661" s="453"/>
      <c r="C661" s="958"/>
      <c r="D661" s="958"/>
      <c r="E661" s="451"/>
      <c r="F661" s="443"/>
      <c r="G661" s="462"/>
      <c r="H661" s="583"/>
      <c r="I661" s="502"/>
    </row>
    <row r="662" ht="13.5" customHeight="1">
      <c r="A662" s="431"/>
      <c r="B662" s="453"/>
      <c r="C662" s="958"/>
      <c r="D662" s="958"/>
      <c r="E662" s="451"/>
      <c r="F662" s="443"/>
      <c r="G662" s="462"/>
      <c r="H662" s="583"/>
      <c r="I662" s="502"/>
      <c r="J662" s="407"/>
    </row>
    <row r="663" ht="13.5" customHeight="1">
      <c r="A663" s="431"/>
      <c r="B663" s="453"/>
      <c r="C663" s="958"/>
      <c r="D663" s="958"/>
      <c r="E663" s="451"/>
      <c r="F663" s="443"/>
      <c r="G663" s="462"/>
      <c r="H663" s="583"/>
      <c r="I663" s="502"/>
    </row>
    <row r="664" ht="13.5" customHeight="1">
      <c r="A664" s="960"/>
      <c r="B664" s="961"/>
      <c r="C664" s="962"/>
      <c r="D664" s="962"/>
      <c r="E664" s="963"/>
      <c r="F664" s="964"/>
      <c r="G664" s="965"/>
      <c r="H664" s="966"/>
      <c r="I664" s="967"/>
      <c r="J664" s="968"/>
    </row>
    <row r="665" ht="13.5" customHeight="1">
      <c r="A665" s="960"/>
      <c r="B665" s="961"/>
      <c r="C665" s="962"/>
      <c r="D665" s="962"/>
      <c r="E665" s="963"/>
      <c r="F665" s="964"/>
      <c r="G665" s="965"/>
      <c r="H665" s="966"/>
      <c r="I665" s="967"/>
      <c r="J665" s="968"/>
    </row>
    <row r="666" ht="13.5" customHeight="1">
      <c r="A666" s="960"/>
      <c r="B666" s="961"/>
      <c r="C666" s="962"/>
      <c r="D666" s="962"/>
      <c r="E666" s="963"/>
      <c r="F666" s="964"/>
      <c r="G666" s="965"/>
      <c r="H666" s="966"/>
      <c r="I666" s="967"/>
      <c r="J666" s="968"/>
    </row>
    <row r="667" ht="13.5" customHeight="1">
      <c r="A667" s="960"/>
      <c r="B667" s="961"/>
      <c r="C667" s="962"/>
      <c r="D667" s="962"/>
      <c r="E667" s="963"/>
      <c r="F667" s="964"/>
      <c r="G667" s="965"/>
      <c r="H667" s="966"/>
      <c r="I667" s="967"/>
      <c r="J667" s="968"/>
    </row>
    <row r="668" ht="13.5" customHeight="1">
      <c r="A668" s="431"/>
      <c r="B668" s="453"/>
      <c r="C668" s="958"/>
      <c r="D668" s="958"/>
      <c r="E668" s="451"/>
      <c r="F668" s="443"/>
      <c r="G668" s="462"/>
      <c r="H668" s="583"/>
      <c r="I668" s="502"/>
    </row>
    <row r="669" ht="13.5" customHeight="1">
      <c r="A669" s="431"/>
      <c r="B669" s="453"/>
      <c r="C669" s="958"/>
      <c r="D669" s="958"/>
      <c r="E669" s="451"/>
      <c r="F669" s="443"/>
      <c r="G669" s="462"/>
      <c r="H669" s="583"/>
      <c r="I669" s="502"/>
    </row>
    <row r="670" ht="13.5" customHeight="1">
      <c r="A670" s="431"/>
      <c r="B670" s="453"/>
      <c r="C670" s="958"/>
      <c r="D670" s="958"/>
      <c r="E670" s="451"/>
      <c r="F670" s="443"/>
      <c r="G670" s="462"/>
      <c r="H670" s="583"/>
      <c r="I670" s="502"/>
    </row>
    <row r="671" ht="13.5" customHeight="1">
      <c r="A671" s="431"/>
      <c r="B671" s="453"/>
      <c r="C671" s="958"/>
      <c r="D671" s="958"/>
      <c r="E671" s="451"/>
      <c r="F671" s="443"/>
      <c r="G671" s="462"/>
      <c r="H671" s="583"/>
      <c r="I671" s="502"/>
    </row>
    <row r="672" ht="13.5" customHeight="1">
      <c r="A672" s="431"/>
      <c r="B672" s="453"/>
      <c r="C672" s="958"/>
      <c r="D672" s="958"/>
      <c r="E672" s="451"/>
      <c r="F672" s="443"/>
      <c r="G672" s="462"/>
      <c r="H672" s="583"/>
      <c r="I672" s="502"/>
    </row>
    <row r="673" ht="13.5" customHeight="1">
      <c r="A673" s="431"/>
      <c r="B673" s="453"/>
      <c r="C673" s="958"/>
      <c r="D673" s="958"/>
      <c r="E673" s="451"/>
      <c r="F673" s="443"/>
      <c r="G673" s="462"/>
      <c r="H673" s="583"/>
      <c r="I673" s="502"/>
    </row>
    <row r="674" ht="13.5" customHeight="1">
      <c r="A674" s="431"/>
      <c r="B674" s="453"/>
      <c r="C674" s="958"/>
      <c r="D674" s="958"/>
      <c r="E674" s="451"/>
      <c r="F674" s="443"/>
      <c r="G674" s="462"/>
      <c r="H674" s="583"/>
      <c r="I674" s="502"/>
    </row>
    <row r="675" ht="13.5" customHeight="1">
      <c r="A675" s="431"/>
      <c r="B675" s="453"/>
      <c r="C675" s="958"/>
      <c r="D675" s="958"/>
      <c r="E675" s="451"/>
      <c r="F675" s="443"/>
      <c r="G675" s="462"/>
      <c r="H675" s="583"/>
      <c r="I675" s="502"/>
    </row>
    <row r="676" ht="13.5" customHeight="1">
      <c r="A676" s="431"/>
      <c r="B676" s="453"/>
      <c r="C676" s="958"/>
      <c r="D676" s="958"/>
      <c r="E676" s="451"/>
      <c r="F676" s="443"/>
      <c r="G676" s="462"/>
      <c r="H676" s="583"/>
      <c r="I676" s="502"/>
    </row>
    <row r="677" ht="13.5" customHeight="1">
      <c r="A677" s="431"/>
      <c r="B677" s="453"/>
      <c r="C677" s="958"/>
      <c r="D677" s="958"/>
      <c r="E677" s="451"/>
      <c r="F677" s="443"/>
      <c r="G677" s="462"/>
      <c r="H677" s="583"/>
      <c r="I677" s="502"/>
    </row>
    <row r="678" ht="13.5" customHeight="1">
      <c r="A678" s="431"/>
      <c r="B678" s="453"/>
      <c r="C678" s="958"/>
      <c r="D678" s="958"/>
      <c r="E678" s="451"/>
      <c r="F678" s="443"/>
      <c r="G678" s="462"/>
      <c r="H678" s="583"/>
      <c r="I678" s="502"/>
    </row>
    <row r="679" ht="13.5" customHeight="1">
      <c r="A679" s="431"/>
      <c r="B679" s="453"/>
      <c r="C679" s="958"/>
      <c r="D679" s="958"/>
      <c r="E679" s="451"/>
      <c r="F679" s="443"/>
      <c r="G679" s="462"/>
      <c r="H679" s="583"/>
      <c r="I679" s="502"/>
    </row>
    <row r="680" ht="13.5" customHeight="1">
      <c r="A680" s="431"/>
      <c r="B680" s="453"/>
      <c r="C680" s="958"/>
      <c r="D680" s="958"/>
      <c r="E680" s="451"/>
      <c r="F680" s="443"/>
      <c r="G680" s="462"/>
      <c r="H680" s="583"/>
      <c r="I680" s="502"/>
    </row>
    <row r="681" ht="13.5" customHeight="1">
      <c r="A681" s="431"/>
      <c r="B681" s="453"/>
      <c r="C681" s="958"/>
      <c r="D681" s="958"/>
      <c r="E681" s="451"/>
      <c r="F681" s="443"/>
      <c r="G681" s="462"/>
      <c r="H681" s="583"/>
      <c r="I681" s="502"/>
    </row>
    <row r="682" ht="13.5" customHeight="1">
      <c r="A682" s="431"/>
      <c r="B682" s="453"/>
      <c r="C682" s="958"/>
      <c r="D682" s="958"/>
      <c r="E682" s="451"/>
      <c r="F682" s="443"/>
      <c r="G682" s="462"/>
      <c r="H682" s="583"/>
      <c r="I682" s="502"/>
    </row>
    <row r="683" ht="13.5" customHeight="1">
      <c r="A683" s="431"/>
      <c r="B683" s="453"/>
      <c r="C683" s="958"/>
      <c r="D683" s="958"/>
      <c r="E683" s="451"/>
      <c r="F683" s="443"/>
      <c r="G683" s="462"/>
      <c r="H683" s="583"/>
      <c r="I683" s="502"/>
    </row>
    <row r="684" ht="13.5" customHeight="1">
      <c r="A684" s="431"/>
      <c r="B684" s="453"/>
      <c r="C684" s="958"/>
      <c r="D684" s="958"/>
      <c r="E684" s="451"/>
      <c r="F684" s="443"/>
      <c r="G684" s="462"/>
      <c r="H684" s="583"/>
      <c r="I684" s="502"/>
    </row>
    <row r="685" ht="13.5" customHeight="1">
      <c r="A685" s="431"/>
      <c r="B685" s="453"/>
      <c r="C685" s="958"/>
      <c r="D685" s="958"/>
      <c r="E685" s="451"/>
      <c r="F685" s="443"/>
      <c r="G685" s="462"/>
      <c r="H685" s="583"/>
      <c r="I685" s="502"/>
    </row>
    <row r="686" ht="13.5" customHeight="1">
      <c r="A686" s="431"/>
      <c r="B686" s="453"/>
      <c r="C686" s="958"/>
      <c r="D686" s="958"/>
      <c r="E686" s="451"/>
      <c r="F686" s="443"/>
      <c r="G686" s="462"/>
      <c r="H686" s="583"/>
      <c r="I686" s="502"/>
    </row>
    <row r="687" ht="13.5" customHeight="1">
      <c r="A687" s="431"/>
      <c r="B687" s="453"/>
      <c r="C687" s="958"/>
      <c r="D687" s="958"/>
      <c r="E687" s="451"/>
      <c r="F687" s="443"/>
      <c r="G687" s="462"/>
      <c r="H687" s="583"/>
      <c r="I687" s="502"/>
      <c r="J687" s="407"/>
    </row>
    <row r="688" ht="13.5" customHeight="1">
      <c r="A688" s="431"/>
      <c r="B688" s="453"/>
      <c r="C688" s="958"/>
      <c r="D688" s="958"/>
      <c r="E688" s="451"/>
      <c r="F688" s="443"/>
      <c r="G688" s="462"/>
      <c r="H688" s="583"/>
      <c r="I688" s="502"/>
      <c r="J688" s="407"/>
    </row>
    <row r="689" ht="13.5" customHeight="1">
      <c r="A689" s="431"/>
      <c r="B689" s="453"/>
      <c r="C689" s="958"/>
      <c r="D689" s="958"/>
      <c r="E689" s="451"/>
      <c r="F689" s="443"/>
      <c r="G689" s="462"/>
      <c r="H689" s="583"/>
      <c r="I689" s="502"/>
      <c r="J689" s="407"/>
    </row>
    <row r="690" ht="13.5" customHeight="1">
      <c r="A690" s="431"/>
      <c r="B690" s="453"/>
      <c r="C690" s="958"/>
      <c r="D690" s="958"/>
      <c r="E690" s="451"/>
      <c r="F690" s="443"/>
      <c r="G690" s="462"/>
      <c r="H690" s="583"/>
      <c r="I690" s="502"/>
      <c r="J690" s="407"/>
    </row>
    <row r="691" ht="13.5" customHeight="1">
      <c r="A691" s="431"/>
      <c r="B691" s="453"/>
      <c r="C691" s="958"/>
      <c r="D691" s="958"/>
      <c r="E691" s="451"/>
      <c r="F691" s="443"/>
      <c r="G691" s="462"/>
      <c r="H691" s="583"/>
      <c r="I691" s="502"/>
      <c r="J691" s="407"/>
    </row>
    <row r="692" ht="13.5" customHeight="1">
      <c r="A692" s="431"/>
      <c r="B692" s="453"/>
      <c r="C692" s="958"/>
      <c r="D692" s="958"/>
      <c r="E692" s="451"/>
      <c r="F692" s="443"/>
      <c r="G692" s="462"/>
      <c r="H692" s="583"/>
      <c r="I692" s="502"/>
      <c r="J692" s="407"/>
    </row>
    <row r="693" ht="13.5" customHeight="1">
      <c r="A693" s="431"/>
      <c r="B693" s="453"/>
      <c r="C693" s="958"/>
      <c r="D693" s="958"/>
      <c r="E693" s="451"/>
      <c r="F693" s="443"/>
      <c r="G693" s="462"/>
      <c r="H693" s="583"/>
      <c r="I693" s="502"/>
      <c r="J693" s="407"/>
    </row>
    <row r="694" ht="13.5" customHeight="1">
      <c r="A694" s="431"/>
      <c r="B694" s="453"/>
      <c r="C694" s="958"/>
      <c r="D694" s="958"/>
      <c r="E694" s="451"/>
      <c r="F694" s="443"/>
      <c r="G694" s="462"/>
      <c r="H694" s="583"/>
      <c r="I694" s="502"/>
      <c r="J694" s="407"/>
    </row>
    <row r="695" ht="13.5" customHeight="1">
      <c r="A695" s="431"/>
      <c r="B695" s="453"/>
      <c r="C695" s="958"/>
      <c r="D695" s="958"/>
      <c r="E695" s="451"/>
      <c r="F695" s="443"/>
      <c r="G695" s="462"/>
      <c r="H695" s="583"/>
      <c r="I695" s="502"/>
      <c r="J695" s="407"/>
    </row>
    <row r="696" ht="13.5" customHeight="1">
      <c r="A696" s="431"/>
      <c r="B696" s="453"/>
      <c r="C696" s="958"/>
      <c r="D696" s="958"/>
      <c r="E696" s="451"/>
      <c r="F696" s="443"/>
      <c r="G696" s="462"/>
      <c r="H696" s="583"/>
      <c r="I696" s="502"/>
      <c r="J696" s="407"/>
    </row>
    <row r="697" ht="13.5" customHeight="1">
      <c r="A697" s="431"/>
      <c r="B697" s="453"/>
      <c r="C697" s="958"/>
      <c r="D697" s="958"/>
      <c r="E697" s="451"/>
      <c r="F697" s="443"/>
      <c r="G697" s="462"/>
      <c r="H697" s="583"/>
      <c r="I697" s="502"/>
      <c r="J697" s="407"/>
    </row>
    <row r="698" ht="13.5" customHeight="1">
      <c r="A698" s="431"/>
      <c r="B698" s="453"/>
      <c r="C698" s="958"/>
      <c r="D698" s="958"/>
      <c r="E698" s="451"/>
      <c r="F698" s="443"/>
      <c r="G698" s="462"/>
      <c r="H698" s="583"/>
      <c r="I698" s="502"/>
      <c r="J698" s="407"/>
    </row>
    <row r="699" ht="13.5" customHeight="1">
      <c r="A699" s="431"/>
      <c r="B699" s="453"/>
      <c r="C699" s="958"/>
      <c r="D699" s="958"/>
      <c r="E699" s="451"/>
      <c r="F699" s="443"/>
      <c r="G699" s="462"/>
      <c r="H699" s="583"/>
      <c r="I699" s="502"/>
      <c r="J699" s="407"/>
    </row>
    <row r="700" ht="13.5" customHeight="1">
      <c r="A700" s="431"/>
      <c r="B700" s="453"/>
      <c r="C700" s="958"/>
      <c r="D700" s="958"/>
      <c r="E700" s="451"/>
      <c r="F700" s="443"/>
      <c r="G700" s="462"/>
      <c r="H700" s="583"/>
      <c r="I700" s="502"/>
      <c r="J700" s="407"/>
    </row>
    <row r="701" ht="13.5" customHeight="1">
      <c r="A701" s="431"/>
      <c r="B701" s="453"/>
      <c r="C701" s="958"/>
      <c r="D701" s="958"/>
      <c r="E701" s="451"/>
      <c r="F701" s="443"/>
      <c r="G701" s="462"/>
      <c r="H701" s="583"/>
      <c r="I701" s="502"/>
      <c r="J701" s="407"/>
    </row>
    <row r="702" ht="13.5" customHeight="1">
      <c r="A702" s="431"/>
      <c r="B702" s="453"/>
      <c r="C702" s="958"/>
      <c r="D702" s="958"/>
      <c r="E702" s="451"/>
      <c r="F702" s="443"/>
      <c r="G702" s="462"/>
      <c r="H702" s="583"/>
      <c r="I702" s="502"/>
      <c r="J702" s="407"/>
    </row>
    <row r="703" ht="13.5" customHeight="1">
      <c r="A703" s="431"/>
      <c r="B703" s="453"/>
      <c r="C703" s="958"/>
      <c r="D703" s="958"/>
      <c r="E703" s="451"/>
      <c r="F703" s="443"/>
      <c r="G703" s="462"/>
      <c r="H703" s="583"/>
      <c r="I703" s="502"/>
      <c r="J703" s="407"/>
    </row>
    <row r="704" ht="13.5" customHeight="1">
      <c r="A704" s="431"/>
      <c r="B704" s="453"/>
      <c r="C704" s="958"/>
      <c r="D704" s="958"/>
      <c r="E704" s="451"/>
      <c r="F704" s="443"/>
      <c r="G704" s="462"/>
      <c r="H704" s="583"/>
      <c r="I704" s="502"/>
      <c r="J704" s="407"/>
    </row>
    <row r="705" ht="13.5" customHeight="1">
      <c r="A705" s="431"/>
      <c r="B705" s="453"/>
      <c r="C705" s="958"/>
      <c r="D705" s="958"/>
      <c r="E705" s="451"/>
      <c r="F705" s="443"/>
      <c r="G705" s="462"/>
      <c r="H705" s="583"/>
      <c r="I705" s="502"/>
      <c r="J705" s="407"/>
    </row>
    <row r="706" ht="13.5" customHeight="1">
      <c r="A706" s="431"/>
      <c r="B706" s="453"/>
      <c r="C706" s="958"/>
      <c r="D706" s="958"/>
      <c r="E706" s="451"/>
      <c r="F706" s="443"/>
      <c r="G706" s="462"/>
      <c r="H706" s="583"/>
      <c r="I706" s="502"/>
      <c r="J706" s="407"/>
    </row>
    <row r="707" ht="13.5" customHeight="1">
      <c r="A707" s="431"/>
      <c r="B707" s="453"/>
      <c r="C707" s="958"/>
      <c r="D707" s="958"/>
      <c r="E707" s="451"/>
      <c r="F707" s="443"/>
      <c r="G707" s="462"/>
      <c r="H707" s="583"/>
      <c r="I707" s="502"/>
      <c r="J707" s="407"/>
    </row>
    <row r="708" ht="13.5" customHeight="1">
      <c r="A708" s="431"/>
      <c r="B708" s="453"/>
      <c r="C708" s="958"/>
      <c r="D708" s="958"/>
      <c r="E708" s="451"/>
      <c r="F708" s="443"/>
      <c r="G708" s="462"/>
      <c r="H708" s="583"/>
      <c r="I708" s="502"/>
      <c r="J708" s="407"/>
    </row>
    <row r="709" ht="13.5" customHeight="1">
      <c r="A709" s="431"/>
      <c r="B709" s="453"/>
      <c r="C709" s="958"/>
      <c r="D709" s="958"/>
      <c r="E709" s="451"/>
      <c r="F709" s="443"/>
      <c r="G709" s="462"/>
      <c r="H709" s="583"/>
      <c r="I709" s="502"/>
      <c r="J709" s="407"/>
    </row>
    <row r="710" ht="13.5" customHeight="1">
      <c r="A710" s="431"/>
      <c r="B710" s="453"/>
      <c r="C710" s="958"/>
      <c r="D710" s="958"/>
      <c r="E710" s="451"/>
      <c r="F710" s="443"/>
      <c r="G710" s="462"/>
      <c r="H710" s="583"/>
      <c r="I710" s="502"/>
      <c r="J710" s="407"/>
    </row>
  </sheetData>
  <mergeCells count="4">
    <mergeCell ref="B4:H4"/>
    <mergeCell ref="B5:H5"/>
    <mergeCell ref="C60:H60"/>
    <mergeCell ref="C320:H320"/>
  </mergeCells>
  <conditionalFormatting sqref="F1:F9 F11:F59 F61:F710">
    <cfRule type="cellIs" dxfId="0" priority="1" operator="equal">
      <formula>1</formula>
    </cfRule>
  </conditionalFormatting>
  <conditionalFormatting sqref="F1:F9 F11:F59 F61:F710">
    <cfRule type="cellIs" dxfId="0" priority="2" operator="equal">
      <formula>1</formula>
    </cfRule>
  </conditionalFormatting>
  <hyperlinks>
    <hyperlink r:id="rId1" ref="C400"/>
  </hyperlinks>
  <printOptions horizontalCentered="1" verticalCentered="1"/>
  <pageMargins bottom="1.0" footer="0.0" header="0.0" left="0.75" right="0.75" top="1.0"/>
  <pageSetup orientation="portrait"/>
  <headerFooter>
    <oddFooter>&amp;CPage  &amp;P of </oddFooter>
  </headerFooter>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0.43"/>
    <col customWidth="1" min="2" max="2" width="8.43"/>
    <col customWidth="1" min="3" max="3" width="37.0"/>
    <col customWidth="1" min="4" max="5" width="10.86"/>
    <col customWidth="1" min="6" max="6" width="11.14"/>
    <col customWidth="1" min="7" max="7" width="17.0"/>
    <col customWidth="1" min="8" max="8" width="12.71"/>
  </cols>
  <sheetData>
    <row r="1" ht="13.5" customHeight="1">
      <c r="A1" s="1" t="str">
        <f>'1. READ THIS FIRST!'!A1</f>
        <v/>
      </c>
      <c r="C1" s="969"/>
      <c r="D1" s="969"/>
      <c r="E1" s="502"/>
      <c r="F1" s="970"/>
      <c r="G1" s="502"/>
      <c r="H1" s="502"/>
    </row>
    <row r="2" ht="13.5" customHeight="1">
      <c r="C2" s="969"/>
      <c r="D2" s="969"/>
      <c r="E2" s="502"/>
      <c r="F2" s="970"/>
      <c r="G2" s="502"/>
      <c r="H2" s="502"/>
    </row>
    <row r="3" ht="13.5" customHeight="1">
      <c r="B3" s="433"/>
      <c r="C3" s="433"/>
      <c r="D3" s="433"/>
      <c r="E3" s="433"/>
      <c r="F3" s="433"/>
      <c r="G3" s="433"/>
      <c r="H3" s="436"/>
    </row>
    <row r="4" ht="13.5" customHeight="1">
      <c r="B4" s="971" t="str">
        <f>'4. Budget Detail'!$B$4</f>
        <v>UNTITLED EXCELLENT DOCUMENTARY FILM</v>
      </c>
      <c r="H4" s="502"/>
    </row>
    <row r="5" ht="13.5" customHeight="1">
      <c r="B5" s="433" t="str">
        <f>'4. Budget Detail'!$B$5</f>
        <v>BUDGET DATE:  3/1/2024</v>
      </c>
      <c r="H5" s="436"/>
    </row>
    <row r="6" ht="13.5" customHeight="1">
      <c r="B6" s="434"/>
      <c r="C6" s="434"/>
      <c r="D6" s="434"/>
      <c r="E6" s="434"/>
      <c r="F6" s="434"/>
      <c r="G6" s="434"/>
      <c r="H6" s="434"/>
    </row>
    <row r="7" ht="13.5" customHeight="1">
      <c r="B7" s="436" t="str">
        <f>'4. Budget Detail'!B7</f>
        <v/>
      </c>
      <c r="C7" s="434"/>
      <c r="D7" s="434"/>
      <c r="E7" s="436" t="str">
        <f>'4. Budget Detail'!E7</f>
        <v/>
      </c>
      <c r="F7" s="859" t="str">
        <f>'4. Budget Detail'!F7</f>
        <v/>
      </c>
      <c r="G7" s="859" t="str">
        <f>'4. Budget Detail'!G7</f>
        <v/>
      </c>
      <c r="H7" s="434"/>
    </row>
    <row r="8" ht="13.5" customHeight="1">
      <c r="B8" s="436" t="str">
        <f>'4. Budget Detail'!B8</f>
        <v>PRODUCTION COMPANY:  Great Docu Films Inc.</v>
      </c>
      <c r="C8" s="801"/>
      <c r="D8" s="972" t="str">
        <f>'4. Budget Detail'!D8</f>
        <v/>
      </c>
      <c r="E8" s="438" t="str">
        <f>'4. Budget Detail'!E8</f>
        <v>Research:</v>
      </c>
      <c r="F8" s="440">
        <f>'4. Budget Detail'!F8</f>
        <v>18</v>
      </c>
      <c r="G8" s="583" t="str">
        <f>'4. Budget Detail'!G8</f>
        <v>weeks</v>
      </c>
      <c r="H8" s="502"/>
    </row>
    <row r="9" ht="13.5" customHeight="1">
      <c r="B9" s="436" t="str">
        <f>'4. Budget Detail'!B9</f>
        <v>DIRECTOR : Excellent Director</v>
      </c>
      <c r="C9" s="801"/>
      <c r="D9" s="801"/>
      <c r="E9" s="442" t="str">
        <f>'4. Budget Detail'!E9</f>
        <v>Prep:</v>
      </c>
      <c r="F9" s="440">
        <f>'4. Budget Detail'!F9</f>
        <v>9</v>
      </c>
      <c r="G9" s="583" t="str">
        <f>'4. Budget Detail'!G9</f>
        <v>weeks (overlaps with research)</v>
      </c>
      <c r="H9" s="502"/>
    </row>
    <row r="10" ht="13.5" customHeight="1">
      <c r="B10" s="436" t="str">
        <f>'4. Budget Detail'!B10</f>
        <v>PRODUCER:  Excellent Producer</v>
      </c>
      <c r="C10" s="973"/>
      <c r="D10" s="973"/>
      <c r="E10" s="442" t="str">
        <f>'4. Budget Detail'!E10</f>
        <v>Shoot Days:</v>
      </c>
      <c r="F10" s="974" t="str">
        <f>'4. Budget Detail'!F10</f>
        <v>12 interview days+53 vérité days</v>
      </c>
      <c r="G10" s="453"/>
      <c r="H10" s="502"/>
    </row>
    <row r="11" ht="13.5" customHeight="1">
      <c r="B11" s="436" t="str">
        <f>'4. Budget Detail'!B11</f>
        <v>EDITOR: Super Cutter</v>
      </c>
      <c r="C11" s="969"/>
      <c r="D11" s="969"/>
      <c r="E11" s="442" t="str">
        <f>'4. Budget Detail'!E11</f>
        <v>Shoot/Production Period:</v>
      </c>
      <c r="F11" s="440">
        <f>'4. Budget Detail'!F11</f>
        <v>52</v>
      </c>
      <c r="G11" s="583" t="str">
        <f>'4. Budget Detail'!G11</f>
        <v>weeks</v>
      </c>
      <c r="H11" s="502"/>
    </row>
    <row r="12" ht="13.5" customHeight="1">
      <c r="B12" s="436" t="str">
        <f>'4. Budget Detail'!B12</f>
        <v>LINE PRODUCER: OnBudget Smithee</v>
      </c>
      <c r="C12" s="969"/>
      <c r="D12" s="969"/>
      <c r="E12" s="442" t="str">
        <f>'4. Budget Detail'!E12</f>
        <v>Edit:</v>
      </c>
      <c r="F12" s="440">
        <f>'4. Budget Detail'!F12</f>
        <v>40</v>
      </c>
      <c r="G12" s="583" t="str">
        <f>'4. Budget Detail'!G12</f>
        <v>weeks (overlaps with shoot)</v>
      </c>
      <c r="H12" s="502"/>
    </row>
    <row r="13" ht="13.5" customHeight="1">
      <c r="B13" s="436" t="str">
        <f>'4. Budget Detail'!B13</f>
        <v/>
      </c>
      <c r="C13" s="969"/>
      <c r="D13" s="969"/>
      <c r="E13" s="438" t="str">
        <f>'4. Budget Detail'!E13</f>
        <v>Finishing/Post:</v>
      </c>
      <c r="F13" s="440">
        <f>'4. Budget Detail'!F13</f>
        <v>16</v>
      </c>
      <c r="G13" s="583" t="str">
        <f>'4. Budget Detail'!G13</f>
        <v>weeks</v>
      </c>
      <c r="H13" s="502"/>
    </row>
    <row r="14" ht="13.5" customHeight="1">
      <c r="B14" s="436" t="str">
        <f>'4. Budget Detail'!B14</f>
        <v>BUDGET PREPARED BY:  OnBudget Smithee</v>
      </c>
      <c r="C14" s="969"/>
      <c r="D14" s="969"/>
      <c r="E14" s="442" t="str">
        <f>'4. Budget Detail'!E14</f>
        <v>TOTAL WEEKS:</v>
      </c>
      <c r="F14" s="440">
        <f>'4. Budget Detail'!F14</f>
        <v>104</v>
      </c>
      <c r="G14" s="583" t="str">
        <f>'4. Budget Detail'!G14</f>
        <v>weeks</v>
      </c>
      <c r="H14" s="502"/>
    </row>
    <row r="15" ht="13.5" customHeight="1">
      <c r="B15" s="436" t="str">
        <f>'4. Budget Detail'!B15</f>
        <v/>
      </c>
      <c r="C15" s="969"/>
      <c r="D15" s="969"/>
      <c r="E15" s="442" t="str">
        <f>'4. Budget Detail'!E15</f>
        <v>TOTAL MONTHS:</v>
      </c>
      <c r="F15" s="440">
        <f>'4. Budget Detail'!F15</f>
        <v>24.01847575</v>
      </c>
      <c r="G15" s="583" t="str">
        <f>'4. Budget Detail'!G15</f>
        <v>months</v>
      </c>
      <c r="H15" s="502"/>
    </row>
    <row r="16" ht="13.5" customHeight="1">
      <c r="B16" s="975" t="str">
        <f>'4. Budget Detail'!B16</f>
        <v>LENGTH: 95 min (approx.)</v>
      </c>
      <c r="C16" s="969"/>
      <c r="D16" s="969"/>
      <c r="E16" s="438" t="str">
        <f>'4. Budget Detail'!E16</f>
        <v>DELIVERY DATE:</v>
      </c>
      <c r="F16" s="440" t="str">
        <f>'4. Budget Detail'!F16</f>
        <v>TBD</v>
      </c>
      <c r="G16" s="583" t="str">
        <f>'4. Budget Detail'!G16</f>
        <v/>
      </c>
      <c r="H16" s="502"/>
    </row>
    <row r="17" ht="13.5" customHeight="1">
      <c r="B17" s="436" t="str">
        <f>'4. Budget Detail'!B17</f>
        <v>Original Footage: 90 min</v>
      </c>
      <c r="C17" s="969"/>
      <c r="D17" s="969"/>
      <c r="E17" s="438" t="str">
        <f>'4. Budget Detail'!E17</f>
        <v/>
      </c>
      <c r="F17" s="440" t="str">
        <f>'4. Budget Detail'!F17</f>
        <v/>
      </c>
      <c r="G17" s="583" t="str">
        <f>'4. Budget Detail'!G17</f>
        <v/>
      </c>
      <c r="H17" s="502"/>
    </row>
    <row r="18" ht="13.5" customHeight="1">
      <c r="B18" s="436" t="str">
        <f>'4. Budget Detail'!B18</f>
        <v>Archival Footage: 3 min</v>
      </c>
      <c r="C18" s="969"/>
      <c r="D18" s="969"/>
      <c r="E18" s="442" t="str">
        <f>'4. Budget Detail'!E18</f>
        <v>LOCATIONS: </v>
      </c>
      <c r="F18" s="440" t="str">
        <f>'4. Budget Detail'!F18</f>
        <v>New York, Los Angeles, Houston</v>
      </c>
      <c r="G18" s="453"/>
      <c r="H18" s="502"/>
    </row>
    <row r="19" ht="13.5" customHeight="1">
      <c r="A19" s="958"/>
      <c r="B19" s="436" t="str">
        <f>'4. Budget Detail'!B19</f>
        <v>Graphics/Animation: 2 min (Opening title, End credits)</v>
      </c>
      <c r="C19" s="453"/>
      <c r="D19" s="453"/>
      <c r="E19" s="442" t="str">
        <f>'4. Budget Detail'!E19</f>
        <v>UNION/GUILD:</v>
      </c>
      <c r="F19" s="440" t="str">
        <f>'4. Budget Detail'!F19</f>
        <v>Non-Union</v>
      </c>
      <c r="G19" s="453"/>
      <c r="H19" s="453"/>
    </row>
    <row r="20" ht="13.5" customHeight="1">
      <c r="B20" s="436" t="str">
        <f>'4. Budget Detail'!B20</f>
        <v/>
      </c>
      <c r="C20" s="453"/>
      <c r="D20" s="453"/>
      <c r="E20" s="438" t="str">
        <f>'4. Budget Detail'!E20</f>
        <v/>
      </c>
      <c r="F20" s="440" t="str">
        <f>'4. Budget Detail'!F20</f>
        <v/>
      </c>
      <c r="G20" s="453"/>
      <c r="H20" s="502"/>
    </row>
    <row r="21" ht="13.5" customHeight="1">
      <c r="B21" s="436" t="str">
        <f>'4. Budget Detail'!B21</f>
        <v>SHOOTING FORMAT: 4K UHD</v>
      </c>
      <c r="C21" s="453"/>
      <c r="D21" s="453"/>
      <c r="E21" s="438" t="str">
        <f>'4. Budget Detail'!E21</f>
        <v>ADDITIONAL NOTE #1:</v>
      </c>
      <c r="F21" s="440" t="str">
        <f>'4. Budget Detail'!F21</f>
        <v/>
      </c>
      <c r="G21" s="453"/>
      <c r="H21" s="502"/>
    </row>
    <row r="22" ht="13.5" customHeight="1">
      <c r="B22" s="436" t="str">
        <f>'4. Budget Detail'!B22</f>
        <v>EDITING FORMAT: Avid DNX36 offline</v>
      </c>
      <c r="C22" s="976"/>
      <c r="D22" s="976"/>
      <c r="E22" s="438" t="str">
        <f>'4. Budget Detail'!E22</f>
        <v>ADDITIONAL NOTE #2:</v>
      </c>
      <c r="F22" s="440" t="str">
        <f>'4. Budget Detail'!F22</f>
        <v/>
      </c>
      <c r="G22" s="453"/>
      <c r="H22" s="502"/>
    </row>
    <row r="23" ht="13.5" customHeight="1">
      <c r="B23" s="436" t="str">
        <f>'4. Budget Detail'!B23</f>
        <v>FINISHING FORMAT: 4K UHD (Quicktime, IMF, DCP)</v>
      </c>
      <c r="C23" s="976"/>
      <c r="D23" s="976"/>
      <c r="E23" s="438" t="str">
        <f>'4. Budget Detail'!E23</f>
        <v>ADDITIONAL NOTE #3:</v>
      </c>
      <c r="F23" s="440" t="str">
        <f>'4. Budget Detail'!F23</f>
        <v/>
      </c>
      <c r="G23" s="453"/>
      <c r="H23" s="502"/>
    </row>
    <row r="24" ht="13.5" customHeight="1">
      <c r="B24" s="436" t="str">
        <f>'4. Budget Detail'!B24</f>
        <v/>
      </c>
      <c r="C24" s="976"/>
      <c r="D24" s="976"/>
      <c r="E24" s="977"/>
      <c r="F24" s="978"/>
      <c r="G24" s="979"/>
      <c r="H24" s="502"/>
    </row>
    <row r="25" ht="13.5" customHeight="1">
      <c r="C25" s="449"/>
      <c r="D25" s="449"/>
      <c r="E25" s="980"/>
      <c r="F25" s="980"/>
      <c r="G25" s="974"/>
      <c r="H25" s="981"/>
    </row>
    <row r="26" ht="13.5" customHeight="1">
      <c r="A26" s="958"/>
      <c r="B26" s="982" t="s">
        <v>185</v>
      </c>
      <c r="C26" s="983" t="s">
        <v>139</v>
      </c>
      <c r="D26" s="984"/>
      <c r="E26" s="985"/>
      <c r="F26" s="986"/>
      <c r="G26" s="986" t="s">
        <v>138</v>
      </c>
      <c r="H26" s="987"/>
    </row>
    <row r="27" ht="13.5" customHeight="1">
      <c r="B27" s="988">
        <v>1000.0</v>
      </c>
      <c r="C27" s="989" t="s">
        <v>228</v>
      </c>
      <c r="D27" s="990"/>
      <c r="E27" s="991"/>
      <c r="F27" s="992"/>
      <c r="G27" s="993">
        <f>'4. Budget Detail'!$H$102</f>
        <v>10615.15</v>
      </c>
      <c r="H27" s="432"/>
    </row>
    <row r="28" ht="13.5" customHeight="1">
      <c r="B28" s="988">
        <v>2000.0</v>
      </c>
      <c r="C28" s="994" t="s">
        <v>297</v>
      </c>
      <c r="D28" s="995"/>
      <c r="E28" s="991"/>
      <c r="F28" s="992"/>
      <c r="G28" s="993">
        <f>SUMIFS('4. Budget Detail'!H:H,'4. Budget Detail'!B:B,$B28)</f>
        <v>245000</v>
      </c>
      <c r="H28" s="432"/>
    </row>
    <row r="29" ht="13.5" customHeight="1">
      <c r="B29" s="988">
        <v>3000.0</v>
      </c>
      <c r="C29" s="989" t="s">
        <v>307</v>
      </c>
      <c r="D29" s="990"/>
      <c r="E29" s="991"/>
      <c r="F29" s="992"/>
      <c r="G29" s="993">
        <f>SUMIFS('4. Budget Detail'!H:H,'4. Budget Detail'!B:B,$B29)</f>
        <v>0</v>
      </c>
      <c r="H29" s="502"/>
    </row>
    <row r="30" ht="13.5" customHeight="1">
      <c r="A30" s="371"/>
      <c r="B30" s="996"/>
      <c r="C30" s="997" t="s">
        <v>318</v>
      </c>
      <c r="D30" s="998"/>
      <c r="E30" s="999"/>
      <c r="F30" s="1000"/>
      <c r="G30" s="1001">
        <f>sum(G27:G29)</f>
        <v>255615.15</v>
      </c>
      <c r="H30" s="801"/>
    </row>
    <row r="31" ht="13.5" customHeight="1">
      <c r="B31" s="1002">
        <v>4000.0</v>
      </c>
      <c r="C31" s="1003" t="s">
        <v>320</v>
      </c>
      <c r="D31" s="1004"/>
      <c r="E31" s="991"/>
      <c r="F31" s="992"/>
      <c r="G31" s="993">
        <f>SUMIFS('4. Budget Detail'!H:H,'4. Budget Detail'!B:B,$B31)</f>
        <v>180536.72</v>
      </c>
      <c r="H31" s="502"/>
    </row>
    <row r="32" ht="13.5" customHeight="1">
      <c r="B32" s="1005">
        <v>4100.0</v>
      </c>
      <c r="C32" s="1006" t="s">
        <v>689</v>
      </c>
      <c r="D32" s="1007"/>
      <c r="E32" s="991"/>
      <c r="F32" s="992"/>
      <c r="G32" s="993">
        <f>SUMIFS('4. Budget Detail'!H:H,'4. Budget Detail'!B:B,$B32)</f>
        <v>87332.15</v>
      </c>
      <c r="H32" s="502"/>
    </row>
    <row r="33" ht="13.5" customHeight="1">
      <c r="B33" s="1005">
        <v>4200.0</v>
      </c>
      <c r="C33" s="1003" t="s">
        <v>368</v>
      </c>
      <c r="D33" s="1004"/>
      <c r="E33" s="991"/>
      <c r="F33" s="992"/>
      <c r="G33" s="993">
        <f>SUMIFS('4. Budget Detail'!H:H,'4. Budget Detail'!B:B,$B33)</f>
        <v>271108.7</v>
      </c>
      <c r="H33" s="502"/>
    </row>
    <row r="34" ht="13.5" customHeight="1">
      <c r="B34" s="1005">
        <v>4300.0</v>
      </c>
      <c r="C34" s="989" t="s">
        <v>382</v>
      </c>
      <c r="D34" s="990"/>
      <c r="E34" s="991"/>
      <c r="F34" s="992"/>
      <c r="G34" s="993">
        <f>SUMIFS('4. Budget Detail'!H:H,'4. Budget Detail'!B:B,$B34)</f>
        <v>0</v>
      </c>
      <c r="H34" s="502"/>
    </row>
    <row r="35" ht="13.5" customHeight="1">
      <c r="B35" s="1002">
        <v>5000.0</v>
      </c>
      <c r="C35" s="1003" t="s">
        <v>391</v>
      </c>
      <c r="D35" s="1004"/>
      <c r="E35" s="991"/>
      <c r="F35" s="992"/>
      <c r="G35" s="993">
        <f>SUMIFS('4. Budget Detail'!H:H,'4. Budget Detail'!B:B,$B35)</f>
        <v>26402</v>
      </c>
      <c r="H35" s="502"/>
    </row>
    <row r="36" ht="13.5" customHeight="1">
      <c r="B36" s="1002">
        <v>5100.0</v>
      </c>
      <c r="C36" s="1003" t="s">
        <v>419</v>
      </c>
      <c r="D36" s="1004"/>
      <c r="E36" s="991"/>
      <c r="F36" s="992"/>
      <c r="G36" s="993">
        <f>SUMIFS('4. Budget Detail'!H:H,'4. Budget Detail'!B:B,$B36)</f>
        <v>6271</v>
      </c>
      <c r="H36" s="502"/>
    </row>
    <row r="37" ht="13.5" customHeight="1">
      <c r="B37" s="1002">
        <v>5200.0</v>
      </c>
      <c r="C37" s="1003" t="s">
        <v>428</v>
      </c>
      <c r="D37" s="1004"/>
      <c r="E37" s="991"/>
      <c r="F37" s="992"/>
      <c r="G37" s="993">
        <f>SUMIFS('4. Budget Detail'!H:H,'4. Budget Detail'!B:B,$B37)</f>
        <v>6505</v>
      </c>
      <c r="H37" s="502"/>
    </row>
    <row r="38" ht="13.5" customHeight="1">
      <c r="B38" s="1002">
        <v>5300.0</v>
      </c>
      <c r="C38" s="1003" t="s">
        <v>435</v>
      </c>
      <c r="D38" s="1004"/>
      <c r="E38" s="991"/>
      <c r="F38" s="992"/>
      <c r="G38" s="993">
        <f>SUMIFS('4. Budget Detail'!H:H,'4. Budget Detail'!B:B,$B38)</f>
        <v>0</v>
      </c>
      <c r="H38" s="502"/>
    </row>
    <row r="39" ht="13.5" customHeight="1">
      <c r="B39" s="1002">
        <v>5400.0</v>
      </c>
      <c r="C39" s="1003" t="s">
        <v>439</v>
      </c>
      <c r="D39" s="1004"/>
      <c r="E39" s="991"/>
      <c r="F39" s="992"/>
      <c r="G39" s="993">
        <f>SUMIFS('4. Budget Detail'!H:H,'4. Budget Detail'!B:B,$B39)</f>
        <v>0</v>
      </c>
      <c r="H39" s="502"/>
    </row>
    <row r="40" ht="13.5" customHeight="1">
      <c r="B40" s="1002">
        <v>5500.0</v>
      </c>
      <c r="C40" s="1003" t="s">
        <v>443</v>
      </c>
      <c r="D40" s="1004"/>
      <c r="E40" s="991"/>
      <c r="F40" s="992"/>
      <c r="G40" s="993">
        <f>SUMIFS('4. Budget Detail'!H:H,'4. Budget Detail'!B:B,$B40)</f>
        <v>0</v>
      </c>
      <c r="H40" s="502"/>
    </row>
    <row r="41" ht="13.5" customHeight="1">
      <c r="B41" s="1005">
        <v>5600.0</v>
      </c>
      <c r="C41" s="1006" t="s">
        <v>447</v>
      </c>
      <c r="D41" s="1007"/>
      <c r="E41" s="991"/>
      <c r="F41" s="992"/>
      <c r="G41" s="993">
        <f>SUMIFS('4. Budget Detail'!H:H,'4. Budget Detail'!B:B,$B41)</f>
        <v>1000</v>
      </c>
      <c r="H41" s="502"/>
    </row>
    <row r="42" ht="13.5" customHeight="1">
      <c r="B42" s="1005">
        <v>5700.0</v>
      </c>
      <c r="C42" s="1003" t="s">
        <v>451</v>
      </c>
      <c r="D42" s="1004"/>
      <c r="E42" s="991"/>
      <c r="F42" s="992"/>
      <c r="G42" s="993">
        <f>SUMIFS('4. Budget Detail'!H:H,'4. Budget Detail'!B:B,$B42)</f>
        <v>8950</v>
      </c>
      <c r="H42" s="502"/>
    </row>
    <row r="43" ht="13.5" customHeight="1">
      <c r="B43" s="1002">
        <v>5800.0</v>
      </c>
      <c r="C43" s="1006" t="s">
        <v>463</v>
      </c>
      <c r="D43" s="1007"/>
      <c r="E43" s="991"/>
      <c r="F43" s="992"/>
      <c r="G43" s="993">
        <f>SUMIFS('4. Budget Detail'!H:H,'4. Budget Detail'!B:B,$B43)</f>
        <v>9143</v>
      </c>
      <c r="H43" s="502"/>
    </row>
    <row r="44" ht="13.5" customHeight="1">
      <c r="B44" s="1005">
        <v>5900.0</v>
      </c>
      <c r="C44" s="1006" t="s">
        <v>474</v>
      </c>
      <c r="D44" s="1007"/>
      <c r="E44" s="991"/>
      <c r="F44" s="992"/>
      <c r="G44" s="993">
        <f>SUMIFS('4. Budget Detail'!H:H,'4. Budget Detail'!B:B,$B44)</f>
        <v>11505</v>
      </c>
      <c r="H44" s="502"/>
    </row>
    <row r="45" ht="13.5" customHeight="1">
      <c r="B45" s="1008">
        <v>6000.0</v>
      </c>
      <c r="C45" s="1009" t="s">
        <v>488</v>
      </c>
      <c r="D45" s="1010"/>
      <c r="E45" s="1011"/>
      <c r="F45" s="1012"/>
      <c r="G45" s="993">
        <f>SUMIFS('4. Budget Detail'!H:H,'4. Budget Detail'!B:B,$B45)</f>
        <v>7560</v>
      </c>
      <c r="H45" s="502"/>
    </row>
    <row r="46" ht="13.5" customHeight="1">
      <c r="A46" s="371"/>
      <c r="B46" s="1013"/>
      <c r="C46" s="1014" t="s">
        <v>690</v>
      </c>
      <c r="D46" s="1015"/>
      <c r="E46" s="1016"/>
      <c r="F46" s="1017"/>
      <c r="G46" s="1018">
        <f>sum(G31:G45)</f>
        <v>616313.57</v>
      </c>
      <c r="H46" s="801"/>
    </row>
    <row r="47" ht="13.5" customHeight="1">
      <c r="B47" s="1019">
        <v>7000.0</v>
      </c>
      <c r="C47" s="1020" t="s">
        <v>496</v>
      </c>
      <c r="D47" s="1021"/>
      <c r="E47" s="1022"/>
      <c r="F47" s="1023"/>
      <c r="G47" s="993">
        <f>SUMIFS('4. Budget Detail'!H:H,'4. Budget Detail'!B:B,$B47)</f>
        <v>33850.48845</v>
      </c>
      <c r="H47" s="502"/>
    </row>
    <row r="48" ht="13.5" customHeight="1">
      <c r="B48" s="1005">
        <v>7100.0</v>
      </c>
      <c r="C48" s="1004" t="s">
        <v>527</v>
      </c>
      <c r="D48" s="995"/>
      <c r="E48" s="991"/>
      <c r="F48" s="992"/>
      <c r="G48" s="993">
        <f>SUMIFS('4. Budget Detail'!H:H,'4. Budget Detail'!B:B,$B48)</f>
        <v>800</v>
      </c>
      <c r="H48" s="502"/>
    </row>
    <row r="49" ht="13.5" customHeight="1">
      <c r="B49" s="1005">
        <v>7200.0</v>
      </c>
      <c r="C49" s="1004" t="s">
        <v>531</v>
      </c>
      <c r="D49" s="995"/>
      <c r="E49" s="991"/>
      <c r="F49" s="992"/>
      <c r="G49" s="993">
        <f>SUMIFS('4. Budget Detail'!H:H,'4. Budget Detail'!B:B,$B49)</f>
        <v>5150</v>
      </c>
      <c r="H49" s="502"/>
    </row>
    <row r="50" ht="13.5" customHeight="1">
      <c r="B50" s="1005">
        <v>7300.0</v>
      </c>
      <c r="C50" s="1007" t="s">
        <v>537</v>
      </c>
      <c r="D50" s="995"/>
      <c r="E50" s="991"/>
      <c r="F50" s="992"/>
      <c r="G50" s="993">
        <f>SUMIFS('4. Budget Detail'!H:H,'4. Budget Detail'!B:B,$B50)</f>
        <v>2000</v>
      </c>
      <c r="H50" s="502"/>
    </row>
    <row r="51" ht="13.5" customHeight="1">
      <c r="B51" s="1005">
        <v>7400.0</v>
      </c>
      <c r="C51" s="1004" t="s">
        <v>540</v>
      </c>
      <c r="D51" s="995"/>
      <c r="E51" s="991"/>
      <c r="F51" s="992"/>
      <c r="G51" s="993">
        <f>SUMIFS('4. Budget Detail'!H:H,'4. Budget Detail'!B:B,$B51)</f>
        <v>11150</v>
      </c>
      <c r="H51" s="502"/>
    </row>
    <row r="52" ht="13.5" customHeight="1">
      <c r="B52" s="1005">
        <v>7500.0</v>
      </c>
      <c r="C52" s="1004" t="s">
        <v>544</v>
      </c>
      <c r="D52" s="995"/>
      <c r="E52" s="991"/>
      <c r="F52" s="992"/>
      <c r="G52" s="993">
        <f>SUMIFS('4. Budget Detail'!H:H,'4. Budget Detail'!B:B,$B52)</f>
        <v>31400</v>
      </c>
      <c r="H52" s="502"/>
    </row>
    <row r="53" ht="13.5" customHeight="1">
      <c r="B53" s="1005">
        <v>7600.0</v>
      </c>
      <c r="C53" s="1007" t="s">
        <v>549</v>
      </c>
      <c r="D53" s="995"/>
      <c r="E53" s="991"/>
      <c r="F53" s="992"/>
      <c r="G53" s="993">
        <f>SUMIFS('4. Budget Detail'!H:H,'4. Budget Detail'!B:B,$B53)</f>
        <v>8900</v>
      </c>
      <c r="H53" s="502"/>
    </row>
    <row r="54" ht="13.5" customHeight="1">
      <c r="B54" s="1005">
        <v>7700.0</v>
      </c>
      <c r="C54" s="1007" t="s">
        <v>564</v>
      </c>
      <c r="D54" s="995"/>
      <c r="E54" s="991"/>
      <c r="F54" s="992"/>
      <c r="G54" s="993">
        <f>SUMIFS('4. Budget Detail'!H:H,'4. Budget Detail'!B:B,$B54)</f>
        <v>11450</v>
      </c>
      <c r="H54" s="502"/>
    </row>
    <row r="55" ht="13.5" customHeight="1">
      <c r="B55" s="1005">
        <v>7800.0</v>
      </c>
      <c r="C55" s="1004" t="s">
        <v>573</v>
      </c>
      <c r="D55" s="995"/>
      <c r="E55" s="991"/>
      <c r="F55" s="992"/>
      <c r="G55" s="993">
        <f>SUMIFS('4. Budget Detail'!H:H,'4. Budget Detail'!B:B,$B55)</f>
        <v>30150</v>
      </c>
      <c r="H55" s="502"/>
    </row>
    <row r="56" ht="13.5" customHeight="1">
      <c r="B56" s="1024">
        <v>7900.0</v>
      </c>
      <c r="C56" s="1020" t="s">
        <v>580</v>
      </c>
      <c r="D56" s="1021"/>
      <c r="E56" s="1022"/>
      <c r="F56" s="1023"/>
      <c r="G56" s="993">
        <f>SUMIFS('4. Budget Detail'!H:H,'4. Budget Detail'!B:B,$B56)</f>
        <v>7465</v>
      </c>
      <c r="H56" s="502"/>
    </row>
    <row r="57" ht="13.5" customHeight="1">
      <c r="A57" s="371"/>
      <c r="B57" s="1025"/>
      <c r="C57" s="1026" t="s">
        <v>691</v>
      </c>
      <c r="D57" s="1027"/>
      <c r="E57" s="1028"/>
      <c r="F57" s="1029"/>
      <c r="G57" s="1030">
        <f>sum(G47:G56)</f>
        <v>142315.4885</v>
      </c>
      <c r="H57" s="801"/>
    </row>
    <row r="58" ht="13.5" customHeight="1">
      <c r="B58" s="1031">
        <v>8000.0</v>
      </c>
      <c r="C58" s="1032" t="s">
        <v>589</v>
      </c>
      <c r="D58" s="1033"/>
      <c r="E58" s="1034"/>
      <c r="F58" s="1035"/>
      <c r="G58" s="1036">
        <f>SUMIFS('4. Budget Detail'!H:H,'4. Budget Detail'!B:B,$B58)</f>
        <v>19350</v>
      </c>
      <c r="H58" s="502"/>
    </row>
    <row r="59" ht="13.5" customHeight="1">
      <c r="B59" s="1005">
        <v>8100.0</v>
      </c>
      <c r="C59" s="990" t="s">
        <v>599</v>
      </c>
      <c r="D59" s="995"/>
      <c r="E59" s="991"/>
      <c r="F59" s="1037"/>
      <c r="G59" s="1038">
        <f>SUMIFS('4. Budget Detail'!H:H,'4. Budget Detail'!B:B,$B59)</f>
        <v>0</v>
      </c>
      <c r="H59" s="502"/>
    </row>
    <row r="60" ht="13.5" customHeight="1">
      <c r="B60" s="1002">
        <v>9000.0</v>
      </c>
      <c r="C60" s="1004" t="s">
        <v>606</v>
      </c>
      <c r="D60" s="995"/>
      <c r="E60" s="991"/>
      <c r="F60" s="1037"/>
      <c r="G60" s="1038">
        <f>SUMIFS('4. Budget Detail'!H:H,'4. Budget Detail'!B:B,$B60)</f>
        <v>66115.17321</v>
      </c>
      <c r="H60" s="502"/>
    </row>
    <row r="61" ht="13.5" customHeight="1">
      <c r="B61" s="1039">
        <v>9100.0</v>
      </c>
      <c r="C61" s="1040" t="s">
        <v>620</v>
      </c>
      <c r="D61" s="1041"/>
      <c r="E61" s="1011"/>
      <c r="F61" s="1042"/>
      <c r="G61" s="1038">
        <f>SUMIFS('4. Budget Detail'!H:H,'4. Budget Detail'!B:B,$B61)</f>
        <v>35806.45497</v>
      </c>
      <c r="H61" s="502"/>
    </row>
    <row r="62" ht="13.5" customHeight="1">
      <c r="A62" s="371"/>
      <c r="B62" s="1025"/>
      <c r="C62" s="1026" t="s">
        <v>692</v>
      </c>
      <c r="D62" s="1027"/>
      <c r="E62" s="1028"/>
      <c r="F62" s="1029"/>
      <c r="G62" s="1043">
        <f>sum(G58:G61)</f>
        <v>121271.6282</v>
      </c>
      <c r="H62" s="801"/>
    </row>
    <row r="63" ht="13.5" customHeight="1">
      <c r="A63" s="371"/>
      <c r="B63" s="1044"/>
      <c r="C63" s="1045" t="s">
        <v>633</v>
      </c>
      <c r="D63" s="1045"/>
      <c r="E63" s="1046"/>
      <c r="F63" s="1047"/>
      <c r="G63" s="1048">
        <f>sum(G31:G62)/2</f>
        <v>879900.6866</v>
      </c>
      <c r="H63" s="801"/>
    </row>
    <row r="64" ht="13.5" customHeight="1">
      <c r="B64" s="1049">
        <v>10000.0</v>
      </c>
      <c r="C64" s="990" t="s">
        <v>693</v>
      </c>
      <c r="D64" s="995"/>
      <c r="E64" s="991"/>
      <c r="F64" s="1037"/>
      <c r="G64" s="1038">
        <f>'4. Budget Detail'!$H$627</f>
        <v>40700</v>
      </c>
      <c r="H64" s="502"/>
    </row>
    <row r="65" ht="13.5" customHeight="1">
      <c r="A65" s="371"/>
      <c r="B65" s="1050"/>
      <c r="C65" s="1051" t="s">
        <v>694</v>
      </c>
      <c r="D65" s="1051"/>
      <c r="E65" s="1052"/>
      <c r="F65" s="1053"/>
      <c r="G65" s="1054">
        <f>sum(G64)</f>
        <v>40700</v>
      </c>
      <c r="H65" s="801"/>
    </row>
    <row r="66" ht="13.5" customHeight="1">
      <c r="B66" s="1055"/>
      <c r="C66" s="1056" t="s">
        <v>695</v>
      </c>
      <c r="D66" s="1057"/>
      <c r="E66" s="991"/>
      <c r="F66" s="992"/>
      <c r="G66" s="993">
        <f>G30+G63+G65</f>
        <v>1176215.837</v>
      </c>
      <c r="H66" s="502"/>
    </row>
    <row r="67" ht="13.5" customHeight="1">
      <c r="B67" s="1055"/>
      <c r="C67" s="1058" t="s">
        <v>166</v>
      </c>
      <c r="D67" s="1059"/>
      <c r="E67" s="1060">
        <f>CONTINGENCY</f>
        <v>0.075</v>
      </c>
      <c r="F67" s="992"/>
      <c r="G67" s="993">
        <f>'4. Budget Detail'!H634</f>
        <v>88216.18775</v>
      </c>
      <c r="H67" s="502"/>
    </row>
    <row r="68" ht="13.5" customHeight="1">
      <c r="B68" s="1049"/>
      <c r="C68" s="1061" t="s">
        <v>696</v>
      </c>
      <c r="D68" s="1061"/>
      <c r="E68" s="1062">
        <f>'4. Budget Detail'!D635</f>
        <v>0.05</v>
      </c>
      <c r="F68" s="1063"/>
      <c r="G68" s="1038">
        <f>'4. Budget Detail'!H635</f>
        <v>21750</v>
      </c>
      <c r="H68" s="502"/>
    </row>
    <row r="69" ht="13.5" customHeight="1">
      <c r="B69" s="1049"/>
      <c r="C69" s="1056" t="s">
        <v>697</v>
      </c>
      <c r="D69" s="1056"/>
      <c r="E69" s="1062"/>
      <c r="F69" s="1063"/>
      <c r="G69" s="1038">
        <f>'4. Budget Detail'!H636</f>
        <v>0</v>
      </c>
      <c r="H69" s="502"/>
    </row>
    <row r="70" ht="13.5" customHeight="1">
      <c r="B70" s="1064"/>
      <c r="C70" s="1065" t="s">
        <v>688</v>
      </c>
      <c r="D70" s="1065"/>
      <c r="E70" s="1066"/>
      <c r="F70" s="1067"/>
      <c r="G70" s="1068">
        <f>sum(G66:G69)</f>
        <v>1286182.024</v>
      </c>
      <c r="H70" s="502"/>
    </row>
    <row r="71" ht="13.5" customHeight="1">
      <c r="C71" s="969"/>
      <c r="D71" s="969"/>
      <c r="E71" s="1069"/>
      <c r="F71" s="1070"/>
      <c r="G71" s="1071"/>
      <c r="H71" s="502"/>
    </row>
    <row r="72" ht="13.5" customHeight="1"/>
    <row r="73" ht="13.5" customHeight="1"/>
    <row r="74" ht="13.5" customHeight="1">
      <c r="A74" s="1072"/>
      <c r="H74" s="987"/>
    </row>
    <row r="75" ht="13.5" customHeight="1">
      <c r="A75" s="1072"/>
      <c r="H75" s="987"/>
    </row>
    <row r="76" ht="13.5" customHeight="1">
      <c r="H76" s="981"/>
    </row>
    <row r="77" ht="13.5" customHeight="1">
      <c r="H77" s="981"/>
    </row>
    <row r="78" ht="13.5" customHeight="1">
      <c r="H78" s="981"/>
    </row>
    <row r="79" ht="13.5" customHeight="1">
      <c r="H79" s="981"/>
    </row>
    <row r="80" ht="13.5" customHeight="1">
      <c r="H80" s="981"/>
    </row>
  </sheetData>
  <mergeCells count="2">
    <mergeCell ref="B4:G4"/>
    <mergeCell ref="B5:G5"/>
  </mergeCells>
  <conditionalFormatting sqref="H30">
    <cfRule type="notContainsBlanks" dxfId="1" priority="1">
      <formula>LEN(TRIM(H30))&gt;0</formula>
    </cfRule>
  </conditionalFormatting>
  <printOptions horizontalCentered="1" verticalCentered="1"/>
  <pageMargins bottom="0.5" footer="0.0" header="0.0" left="0.5" right="0.5" top="0.5"/>
  <pageSetup paperSize="9" orientation="portrait"/>
  <headerFooter>
    <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6.14"/>
    <col customWidth="1" min="3" max="3" width="20.0"/>
    <col customWidth="1" min="7" max="7" width="18.29"/>
    <col customWidth="1" min="8" max="8" width="8.14"/>
    <col customWidth="1" min="9" max="9" width="77.86"/>
  </cols>
  <sheetData>
    <row r="1" ht="13.5" customHeight="1">
      <c r="A1" s="1" t="str">
        <f>'1. READ THIS FIRST!'!A1</f>
        <v/>
      </c>
      <c r="B1" s="971"/>
      <c r="C1" s="971"/>
      <c r="D1" s="971"/>
      <c r="E1" s="971"/>
      <c r="F1" s="971"/>
      <c r="G1" s="971"/>
      <c r="H1" s="502"/>
      <c r="I1" s="502"/>
    </row>
    <row r="2" ht="13.5" customHeight="1">
      <c r="B2" s="1073" t="s">
        <v>2</v>
      </c>
      <c r="H2" s="502"/>
      <c r="I2" s="502"/>
    </row>
    <row r="3" ht="13.5" customHeight="1">
      <c r="B3" s="433" t="s">
        <v>698</v>
      </c>
      <c r="H3" s="436"/>
      <c r="I3" s="436"/>
    </row>
    <row r="4">
      <c r="B4" s="1074"/>
      <c r="C4" s="1074"/>
      <c r="D4" s="1074"/>
      <c r="E4" s="1074"/>
      <c r="F4" s="1074"/>
      <c r="G4" s="1074"/>
    </row>
    <row r="5">
      <c r="B5" s="434" t="s">
        <v>699</v>
      </c>
    </row>
    <row r="6">
      <c r="B6" s="434" t="s">
        <v>700</v>
      </c>
    </row>
    <row r="7">
      <c r="B7" s="434" t="s">
        <v>701</v>
      </c>
    </row>
    <row r="8">
      <c r="B8" s="1074"/>
      <c r="C8" s="1074"/>
      <c r="D8" s="1074"/>
      <c r="E8" s="1074"/>
      <c r="F8" s="1074"/>
      <c r="G8" s="1074"/>
    </row>
    <row r="9">
      <c r="B9" s="1074"/>
      <c r="C9" s="1074"/>
      <c r="D9" s="1074"/>
      <c r="E9" s="1074"/>
      <c r="F9" s="1074"/>
      <c r="G9" s="1074"/>
    </row>
    <row r="10">
      <c r="A10" s="958"/>
      <c r="B10" s="1075" t="s">
        <v>702</v>
      </c>
      <c r="C10" s="1076"/>
      <c r="D10" s="1076"/>
      <c r="E10" s="1076"/>
      <c r="F10" s="1076"/>
      <c r="G10" s="1077"/>
      <c r="H10" s="958"/>
      <c r="I10" s="958"/>
    </row>
    <row r="11">
      <c r="B11" s="1078" t="s">
        <v>703</v>
      </c>
      <c r="C11" s="1079"/>
      <c r="D11" s="1080" t="s">
        <v>138</v>
      </c>
      <c r="E11" s="1081" t="s">
        <v>704</v>
      </c>
      <c r="F11" s="1082" t="s">
        <v>705</v>
      </c>
      <c r="G11" s="1082" t="s">
        <v>706</v>
      </c>
      <c r="I11" s="391" t="s">
        <v>707</v>
      </c>
    </row>
    <row r="12">
      <c r="B12" s="1083" t="s">
        <v>708</v>
      </c>
      <c r="C12" s="1084"/>
      <c r="D12" s="1085">
        <v>75000.0</v>
      </c>
      <c r="E12" s="1086">
        <f>D12/'4. Budget Detail'!$H$637</f>
        <v>0.05831211957</v>
      </c>
      <c r="F12" s="1087" t="s">
        <v>709</v>
      </c>
      <c r="G12" s="1087" t="s">
        <v>709</v>
      </c>
    </row>
    <row r="13">
      <c r="B13" s="1083" t="s">
        <v>710</v>
      </c>
      <c r="C13" s="1084"/>
      <c r="D13" s="1085">
        <v>150000.0</v>
      </c>
      <c r="E13" s="1086">
        <f>D13/'4. Budget Detail'!$H$637</f>
        <v>0.1166242391</v>
      </c>
      <c r="F13" s="1087" t="s">
        <v>709</v>
      </c>
      <c r="G13" s="1087" t="s">
        <v>709</v>
      </c>
    </row>
    <row r="14">
      <c r="B14" s="1083" t="s">
        <v>711</v>
      </c>
      <c r="C14" s="1084"/>
      <c r="D14" s="1085">
        <v>100000.0</v>
      </c>
      <c r="E14" s="1086">
        <f>D14/'4. Budget Detail'!$H$637</f>
        <v>0.07774949277</v>
      </c>
      <c r="F14" s="1087" t="s">
        <v>709</v>
      </c>
      <c r="G14" s="1087" t="s">
        <v>709</v>
      </c>
    </row>
    <row r="15">
      <c r="B15" s="1088" t="s">
        <v>712</v>
      </c>
      <c r="C15" s="1084"/>
      <c r="D15" s="1085">
        <v>250000.0</v>
      </c>
      <c r="E15" s="1086">
        <f>D15/'4. Budget Detail'!$H$637</f>
        <v>0.1943737319</v>
      </c>
      <c r="F15" s="1087" t="s">
        <v>713</v>
      </c>
      <c r="G15" s="1087" t="s">
        <v>714</v>
      </c>
    </row>
    <row r="16">
      <c r="B16" s="1088" t="s">
        <v>715</v>
      </c>
      <c r="C16" s="1084"/>
      <c r="D16" s="1085">
        <v>50000.0</v>
      </c>
      <c r="E16" s="1086">
        <f>D16/'4. Budget Detail'!$H$637</f>
        <v>0.03887474638</v>
      </c>
      <c r="F16" s="1087" t="s">
        <v>716</v>
      </c>
      <c r="G16" s="1087" t="s">
        <v>709</v>
      </c>
    </row>
    <row r="17">
      <c r="B17" s="1083" t="s">
        <v>717</v>
      </c>
      <c r="C17" s="1084"/>
      <c r="D17" s="1085">
        <v>50000.0</v>
      </c>
      <c r="E17" s="1086">
        <f>D17/'4. Budget Detail'!$H$637</f>
        <v>0.03887474638</v>
      </c>
      <c r="F17" s="1089" t="s">
        <v>709</v>
      </c>
      <c r="G17" s="1089" t="s">
        <v>718</v>
      </c>
    </row>
    <row r="18">
      <c r="B18" s="1083" t="s">
        <v>719</v>
      </c>
      <c r="C18" s="1084"/>
      <c r="D18" s="1085">
        <v>50000.0</v>
      </c>
      <c r="E18" s="1086">
        <f>D18/'4. Budget Detail'!$H$637</f>
        <v>0.03887474638</v>
      </c>
      <c r="F18" s="1089" t="s">
        <v>709</v>
      </c>
      <c r="G18" s="1089" t="s">
        <v>720</v>
      </c>
    </row>
    <row r="19">
      <c r="B19" s="1083" t="s">
        <v>721</v>
      </c>
      <c r="C19" s="1084"/>
      <c r="D19" s="1085">
        <v>50000.0</v>
      </c>
      <c r="E19" s="1086">
        <f>D19/'4. Budget Detail'!$H$637</f>
        <v>0.03887474638</v>
      </c>
      <c r="F19" s="1089" t="s">
        <v>709</v>
      </c>
      <c r="G19" s="1089" t="s">
        <v>709</v>
      </c>
    </row>
    <row r="20">
      <c r="B20" s="1090" t="s">
        <v>722</v>
      </c>
      <c r="C20" s="1091"/>
      <c r="D20" s="1092">
        <v>25000.0</v>
      </c>
      <c r="E20" s="1086">
        <f>D20/'4. Budget Detail'!$H$637</f>
        <v>0.01943737319</v>
      </c>
      <c r="F20" s="1093" t="s">
        <v>709</v>
      </c>
      <c r="G20" s="1093" t="s">
        <v>723</v>
      </c>
    </row>
    <row r="21">
      <c r="B21" s="1094" t="s">
        <v>724</v>
      </c>
      <c r="C21" s="1095"/>
      <c r="D21" s="1096">
        <f>sum(D12:D20)</f>
        <v>800000</v>
      </c>
      <c r="E21" s="1097">
        <f>D21/'4. Budget Detail'!$H$637</f>
        <v>0.6219959421</v>
      </c>
      <c r="F21" s="1098"/>
      <c r="G21" s="1098"/>
    </row>
    <row r="22">
      <c r="B22" s="1099"/>
      <c r="C22" s="1100"/>
      <c r="D22" s="1101"/>
      <c r="E22" s="1100"/>
      <c r="F22" s="1102"/>
      <c r="G22" s="1103"/>
    </row>
    <row r="23">
      <c r="B23" s="1099"/>
      <c r="C23" s="1100"/>
      <c r="D23" s="1101"/>
      <c r="E23" s="1100"/>
      <c r="F23" s="1102"/>
      <c r="G23" s="1103"/>
    </row>
    <row r="24">
      <c r="B24" s="1104" t="s">
        <v>725</v>
      </c>
      <c r="C24" s="15"/>
      <c r="D24" s="1105" t="s">
        <v>138</v>
      </c>
      <c r="E24" s="1106" t="s">
        <v>704</v>
      </c>
      <c r="F24" s="1107" t="s">
        <v>726</v>
      </c>
      <c r="G24" s="1107" t="s">
        <v>727</v>
      </c>
    </row>
    <row r="25">
      <c r="B25" s="1083" t="s">
        <v>708</v>
      </c>
      <c r="C25" s="1084"/>
      <c r="D25" s="1085">
        <v>40000.0</v>
      </c>
      <c r="E25" s="1086">
        <f>D25/'4. Budget Detail'!$H$637</f>
        <v>0.03109979711</v>
      </c>
      <c r="F25" s="1087" t="s">
        <v>728</v>
      </c>
      <c r="G25" s="1108">
        <v>45536.0</v>
      </c>
    </row>
    <row r="26">
      <c r="B26" s="1083" t="s">
        <v>710</v>
      </c>
      <c r="C26" s="1084"/>
      <c r="D26" s="1085">
        <v>40000.0</v>
      </c>
      <c r="E26" s="1086">
        <f>D26/'4. Budget Detail'!$H$637</f>
        <v>0.03109979711</v>
      </c>
      <c r="F26" s="1087" t="s">
        <v>729</v>
      </c>
      <c r="G26" s="1108">
        <v>45580.0</v>
      </c>
    </row>
    <row r="27">
      <c r="B27" s="1083" t="s">
        <v>711</v>
      </c>
      <c r="C27" s="1084"/>
      <c r="D27" s="1085">
        <v>30000.0</v>
      </c>
      <c r="E27" s="1086">
        <f>D27/'4. Budget Detail'!$H$637</f>
        <v>0.02332484783</v>
      </c>
      <c r="F27" s="1087" t="s">
        <v>730</v>
      </c>
      <c r="G27" s="1087" t="s">
        <v>709</v>
      </c>
    </row>
    <row r="28">
      <c r="B28" s="1088" t="s">
        <v>731</v>
      </c>
      <c r="C28" s="1084"/>
      <c r="D28" s="1085">
        <v>50000.0</v>
      </c>
      <c r="E28" s="1086">
        <f>D28/'4. Budget Detail'!$H$637</f>
        <v>0.03887474638</v>
      </c>
      <c r="F28" s="1087" t="s">
        <v>732</v>
      </c>
      <c r="G28" s="1087" t="s">
        <v>733</v>
      </c>
    </row>
    <row r="29">
      <c r="B29" s="1088" t="s">
        <v>734</v>
      </c>
      <c r="C29" s="1084"/>
      <c r="D29" s="1085">
        <v>38000.0</v>
      </c>
      <c r="E29" s="1086">
        <f>D29/'4. Budget Detail'!$H$637</f>
        <v>0.02954480725</v>
      </c>
      <c r="F29" s="1087" t="s">
        <v>732</v>
      </c>
      <c r="G29" s="1087" t="s">
        <v>733</v>
      </c>
    </row>
    <row r="30">
      <c r="B30" s="1090" t="s">
        <v>735</v>
      </c>
      <c r="C30" s="1091"/>
      <c r="D30" s="1092">
        <f>D37-D21-sum(D25:D29)</f>
        <v>288182.0244</v>
      </c>
      <c r="E30" s="1086">
        <f>D30/'4. Budget Detail'!$H$637</f>
        <v>0.2240600622</v>
      </c>
      <c r="F30" s="1093" t="s">
        <v>709</v>
      </c>
      <c r="G30" s="1093" t="s">
        <v>709</v>
      </c>
    </row>
    <row r="31">
      <c r="B31" s="1094" t="s">
        <v>736</v>
      </c>
      <c r="C31" s="1095"/>
      <c r="D31" s="1096">
        <f>sum(D25:D30)</f>
        <v>486182.0244</v>
      </c>
      <c r="E31" s="1097">
        <f>D31/'4. Budget Detail'!$H$637</f>
        <v>0.3780040579</v>
      </c>
      <c r="F31" s="1098"/>
      <c r="G31" s="1098"/>
    </row>
    <row r="32">
      <c r="B32" s="1109"/>
      <c r="C32" s="1110"/>
      <c r="D32" s="1111"/>
      <c r="E32" s="1112"/>
      <c r="F32" s="1113"/>
      <c r="G32" s="1114"/>
    </row>
    <row r="33">
      <c r="B33" s="1109"/>
      <c r="C33" s="1110"/>
      <c r="D33" s="1111"/>
      <c r="E33" s="1112"/>
      <c r="F33" s="1113"/>
      <c r="G33" s="1114"/>
    </row>
    <row r="34">
      <c r="A34" s="1115"/>
      <c r="B34" s="1116" t="s">
        <v>737</v>
      </c>
      <c r="C34" s="1117"/>
      <c r="D34" s="1118">
        <f>D21+D31</f>
        <v>1286182.024</v>
      </c>
      <c r="E34" s="1119">
        <f>D34/'4. Budget Detail'!$H$637</f>
        <v>1</v>
      </c>
      <c r="F34" s="1120"/>
      <c r="G34" s="1121"/>
      <c r="H34" s="1115"/>
      <c r="I34" s="1115"/>
    </row>
    <row r="37">
      <c r="A37" s="1115"/>
      <c r="B37" s="1116" t="s">
        <v>738</v>
      </c>
      <c r="C37" s="1117"/>
      <c r="D37" s="1118">
        <f>'4. Budget Detail'!$H$637</f>
        <v>1286182.024</v>
      </c>
      <c r="E37" s="1119">
        <f>D37/'4. Budget Detail'!$H$637</f>
        <v>1</v>
      </c>
      <c r="F37" s="1120"/>
      <c r="G37" s="1121"/>
      <c r="H37" s="1115"/>
      <c r="I37" s="1115"/>
    </row>
    <row r="41">
      <c r="B41" s="1122"/>
    </row>
  </sheetData>
  <mergeCells count="7">
    <mergeCell ref="B2:G2"/>
    <mergeCell ref="B3:G3"/>
    <mergeCell ref="B5:G5"/>
    <mergeCell ref="B6:G6"/>
    <mergeCell ref="B7:G7"/>
    <mergeCell ref="B10:G10"/>
    <mergeCell ref="B24:C24"/>
  </mergeCells>
  <drawing r:id="rId1"/>
</worksheet>
</file>